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Belarus\Калькулятор льгот\итог\"/>
    </mc:Choice>
  </mc:AlternateContent>
  <xr:revisionPtr revIDLastSave="0" documentId="13_ncr:1_{6CBC8159-6EA4-40C1-BF23-EC619869CE90}" xr6:coauthVersionLast="47" xr6:coauthVersionMax="47" xr10:uidLastSave="{00000000-0000-0000-0000-000000000000}"/>
  <bookViews>
    <workbookView xWindow="-120" yWindow="-120" windowWidth="29040" windowHeight="15720" tabRatio="720" xr2:uid="{00000000-000D-0000-FFFF-FFFF00000000}"/>
  </bookViews>
  <sheets>
    <sheet name="Общая информация" sheetId="9" r:id="rId1"/>
    <sheet name="Портрет типового резидента" sheetId="3" r:id="rId2"/>
    <sheet name="Итоговые результаты" sheetId="6" r:id="rId3"/>
    <sheet name="Сравнение налоговой нагрузки" sheetId="4" r:id="rId4"/>
    <sheet name="Сравнение финпоказателей" sheetId="8" r:id="rId5"/>
    <sheet name="Налогообложение" sheetId="7" r:id="rId6"/>
    <sheet name="Льготные налоговые режимы" sheetId="1" r:id="rId7"/>
    <sheet name="Критерии реализации проектов" sheetId="5" r:id="rId8"/>
  </sheets>
  <definedNames>
    <definedName name="_xlnm.Print_Area" localSheetId="1">'Портрет типового резидента'!$A$1:$N$70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8" l="1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D22" i="4" l="1"/>
  <c r="F8" i="7"/>
  <c r="F9" i="7"/>
  <c r="F12" i="7"/>
  <c r="F15" i="7"/>
  <c r="F17" i="7"/>
  <c r="F18" i="7"/>
  <c r="F19" i="7"/>
  <c r="F20" i="7"/>
  <c r="F21" i="7"/>
  <c r="F22" i="7"/>
  <c r="B7" i="5"/>
  <c r="C7" i="5"/>
  <c r="F7" i="5"/>
  <c r="C15" i="6"/>
  <c r="K15" i="6" s="1"/>
  <c r="D51" i="4"/>
  <c r="C38" i="8"/>
  <c r="D23" i="4"/>
  <c r="D57" i="4"/>
  <c r="D55" i="4"/>
  <c r="D54" i="4"/>
  <c r="C53" i="4"/>
  <c r="C52" i="4"/>
  <c r="D49" i="4"/>
  <c r="D48" i="4" l="1"/>
  <c r="D56" i="4"/>
  <c r="D36" i="4"/>
  <c r="D29" i="4"/>
  <c r="D21" i="4"/>
  <c r="D20" i="4" s="1"/>
  <c r="N3" i="3"/>
  <c r="E24" i="3"/>
  <c r="E48" i="3"/>
  <c r="D10" i="4"/>
  <c r="G14" i="7"/>
  <c r="G12" i="7"/>
  <c r="G9" i="7"/>
  <c r="D47" i="4" l="1"/>
  <c r="D8" i="4" l="1"/>
  <c r="F8" i="5" l="1"/>
  <c r="C8" i="5"/>
  <c r="D38" i="4"/>
  <c r="D42" i="4"/>
  <c r="D41" i="4" s="1"/>
  <c r="D40" i="4"/>
  <c r="D39" i="4"/>
  <c r="D37" i="4"/>
  <c r="C35" i="4"/>
  <c r="D34" i="4"/>
  <c r="D33" i="4" s="1"/>
  <c r="C25" i="4"/>
  <c r="D30" i="4"/>
  <c r="D27" i="4"/>
  <c r="D26" i="4"/>
  <c r="D17" i="4"/>
  <c r="D9" i="4"/>
  <c r="D16" i="4"/>
  <c r="D14" i="4"/>
  <c r="D13" i="4"/>
  <c r="D11" i="4"/>
  <c r="E14" i="3"/>
  <c r="G8" i="7"/>
  <c r="G13" i="7"/>
  <c r="G10" i="7"/>
  <c r="G19" i="7"/>
  <c r="G20" i="7"/>
  <c r="G21" i="7"/>
  <c r="G18" i="7"/>
  <c r="G22" i="7"/>
  <c r="G17" i="7"/>
  <c r="H12" i="4" l="1"/>
  <c r="V12" i="4"/>
  <c r="N12" i="4"/>
  <c r="F12" i="4"/>
  <c r="U12" i="4"/>
  <c r="M12" i="4"/>
  <c r="E12" i="4"/>
  <c r="P12" i="4"/>
  <c r="G12" i="4"/>
  <c r="T12" i="4"/>
  <c r="L12" i="4"/>
  <c r="S12" i="4"/>
  <c r="D12" i="4"/>
  <c r="O12" i="4"/>
  <c r="K12" i="4"/>
  <c r="R12" i="4"/>
  <c r="J12" i="4"/>
  <c r="W12" i="4"/>
  <c r="Q12" i="4"/>
  <c r="I12" i="4"/>
  <c r="D28" i="4"/>
  <c r="D32" i="4"/>
  <c r="C43" i="4"/>
  <c r="C9" i="6"/>
  <c r="K9" i="6" s="1"/>
  <c r="D19" i="4" l="1"/>
  <c r="C8" i="8" l="1"/>
  <c r="E7" i="8"/>
  <c r="F7" i="8" s="1"/>
  <c r="G7" i="8" s="1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E26" i="3" l="1"/>
  <c r="D41" i="3"/>
  <c r="D42" i="3" s="1"/>
  <c r="D44" i="3" s="1"/>
  <c r="D45" i="3" s="1"/>
  <c r="D46" i="3" s="1"/>
  <c r="D53" i="3"/>
  <c r="D55" i="3" s="1"/>
  <c r="D60" i="3" s="1"/>
  <c r="D62" i="3" s="1"/>
  <c r="D64" i="3" s="1"/>
  <c r="D66" i="3" s="1"/>
  <c r="D35" i="3"/>
  <c r="E38" i="3"/>
  <c r="E41" i="3" s="1"/>
  <c r="E22" i="3"/>
  <c r="F9" i="8" l="1"/>
  <c r="F19" i="8" s="1"/>
  <c r="F29" i="8" s="1"/>
  <c r="F39" i="8" s="1"/>
  <c r="E51" i="3"/>
  <c r="E20" i="3"/>
  <c r="E49" i="3"/>
  <c r="E55" i="3"/>
  <c r="F12" i="8" s="1"/>
  <c r="F22" i="8" s="1"/>
  <c r="F32" i="8" s="1"/>
  <c r="E45" i="3"/>
  <c r="E18" i="3"/>
  <c r="D48" i="3"/>
  <c r="D49" i="3" s="1"/>
  <c r="D50" i="3" s="1"/>
  <c r="D51" i="3" s="1"/>
  <c r="E44" i="3"/>
  <c r="E37" i="3"/>
  <c r="B8" i="5"/>
  <c r="B19" i="4" s="1"/>
  <c r="B32" i="4"/>
  <c r="D28" i="3"/>
  <c r="D29" i="3" s="1"/>
  <c r="D22" i="3"/>
  <c r="D16" i="3"/>
  <c r="D17" i="3" s="1"/>
  <c r="D18" i="3" s="1"/>
  <c r="E5" i="4"/>
  <c r="G12" i="8" l="1"/>
  <c r="G22" i="8" s="1"/>
  <c r="G32" i="8" s="1"/>
  <c r="G9" i="8"/>
  <c r="G19" i="8" s="1"/>
  <c r="G29" i="8" s="1"/>
  <c r="E51" i="4"/>
  <c r="E23" i="4"/>
  <c r="E55" i="4"/>
  <c r="E49" i="4"/>
  <c r="E57" i="4"/>
  <c r="E54" i="4"/>
  <c r="E36" i="4"/>
  <c r="E21" i="4"/>
  <c r="E29" i="4"/>
  <c r="D30" i="3"/>
  <c r="D32" i="3"/>
  <c r="D33" i="3" s="1"/>
  <c r="E50" i="3"/>
  <c r="D24" i="3"/>
  <c r="D23" i="3"/>
  <c r="C28" i="8"/>
  <c r="C13" i="6"/>
  <c r="K13" i="6" s="1"/>
  <c r="F5" i="4"/>
  <c r="E40" i="4"/>
  <c r="E37" i="4"/>
  <c r="E34" i="4"/>
  <c r="E39" i="4"/>
  <c r="E42" i="4"/>
  <c r="E11" i="4"/>
  <c r="E27" i="4"/>
  <c r="E22" i="4"/>
  <c r="E16" i="4"/>
  <c r="E13" i="4"/>
  <c r="E30" i="4"/>
  <c r="E10" i="4"/>
  <c r="E26" i="4"/>
  <c r="E38" i="4"/>
  <c r="E8" i="4"/>
  <c r="E17" i="4"/>
  <c r="E14" i="4"/>
  <c r="E9" i="4"/>
  <c r="C11" i="6"/>
  <c r="K11" i="6" s="1"/>
  <c r="C18" i="8"/>
  <c r="E42" i="3"/>
  <c r="E46" i="3"/>
  <c r="H9" i="8" l="1"/>
  <c r="H19" i="8" s="1"/>
  <c r="H29" i="8" s="1"/>
  <c r="I9" i="8"/>
  <c r="I19" i="8" s="1"/>
  <c r="I29" i="8" s="1"/>
  <c r="H12" i="8"/>
  <c r="H22" i="8" s="1"/>
  <c r="H32" i="8" s="1"/>
  <c r="E48" i="4"/>
  <c r="F49" i="4"/>
  <c r="F57" i="4"/>
  <c r="F56" i="4" s="1"/>
  <c r="F54" i="4"/>
  <c r="F55" i="4"/>
  <c r="F21" i="4"/>
  <c r="E56" i="4"/>
  <c r="F29" i="4"/>
  <c r="E35" i="3"/>
  <c r="E28" i="4"/>
  <c r="E20" i="4"/>
  <c r="E41" i="4"/>
  <c r="E33" i="4"/>
  <c r="G5" i="4"/>
  <c r="F38" i="4"/>
  <c r="F34" i="4"/>
  <c r="F33" i="4" s="1"/>
  <c r="F39" i="4"/>
  <c r="F42" i="4"/>
  <c r="F41" i="4" s="1"/>
  <c r="F27" i="4"/>
  <c r="F22" i="4"/>
  <c r="F14" i="4"/>
  <c r="F40" i="4"/>
  <c r="F30" i="4"/>
  <c r="F26" i="4"/>
  <c r="F16" i="4"/>
  <c r="F13" i="4"/>
  <c r="F11" i="4"/>
  <c r="F8" i="4"/>
  <c r="F37" i="4"/>
  <c r="F9" i="4"/>
  <c r="F17" i="4"/>
  <c r="D15" i="4"/>
  <c r="D7" i="4"/>
  <c r="E53" i="3" l="1"/>
  <c r="E60" i="3" s="1"/>
  <c r="J9" i="8"/>
  <c r="J19" i="8" s="1"/>
  <c r="J29" i="8" s="1"/>
  <c r="H42" i="8"/>
  <c r="I12" i="8"/>
  <c r="I22" i="8" s="1"/>
  <c r="I32" i="8" s="1"/>
  <c r="G42" i="8"/>
  <c r="F42" i="8"/>
  <c r="G55" i="4"/>
  <c r="G57" i="4"/>
  <c r="G54" i="4"/>
  <c r="G49" i="4"/>
  <c r="G21" i="4"/>
  <c r="E47" i="4"/>
  <c r="G29" i="4"/>
  <c r="F48" i="4"/>
  <c r="F10" i="8"/>
  <c r="E19" i="4"/>
  <c r="F15" i="4"/>
  <c r="E62" i="3"/>
  <c r="F28" i="4"/>
  <c r="F7" i="4"/>
  <c r="D6" i="4"/>
  <c r="F20" i="4"/>
  <c r="H5" i="4"/>
  <c r="G38" i="4"/>
  <c r="G39" i="4"/>
  <c r="G42" i="4"/>
  <c r="G41" i="4" s="1"/>
  <c r="G17" i="4"/>
  <c r="G40" i="4"/>
  <c r="G26" i="4"/>
  <c r="G8" i="4"/>
  <c r="G22" i="4"/>
  <c r="G9" i="4"/>
  <c r="G27" i="4"/>
  <c r="G11" i="4"/>
  <c r="G16" i="4"/>
  <c r="G37" i="4"/>
  <c r="G30" i="4"/>
  <c r="G13" i="4"/>
  <c r="G34" i="4"/>
  <c r="G14" i="4"/>
  <c r="E32" i="4"/>
  <c r="C24" i="4"/>
  <c r="E7" i="4"/>
  <c r="E15" i="4"/>
  <c r="K9" i="8" l="1"/>
  <c r="K19" i="8" s="1"/>
  <c r="K29" i="8" s="1"/>
  <c r="I42" i="8"/>
  <c r="G10" i="8"/>
  <c r="J12" i="8"/>
  <c r="J22" i="8" s="1"/>
  <c r="J32" i="8" s="1"/>
  <c r="F51" i="4"/>
  <c r="F44" i="8" s="1"/>
  <c r="F23" i="4"/>
  <c r="F19" i="4" s="1"/>
  <c r="H51" i="4"/>
  <c r="H44" i="8" s="1"/>
  <c r="F30" i="8"/>
  <c r="F31" i="8" s="1"/>
  <c r="F33" i="8" s="1"/>
  <c r="G51" i="4"/>
  <c r="G44" i="8" s="1"/>
  <c r="G23" i="4"/>
  <c r="F20" i="8"/>
  <c r="F11" i="8"/>
  <c r="F13" i="8" s="1"/>
  <c r="H23" i="4"/>
  <c r="F36" i="4"/>
  <c r="E64" i="3"/>
  <c r="E66" i="3" s="1"/>
  <c r="G36" i="4"/>
  <c r="G56" i="4"/>
  <c r="G48" i="4"/>
  <c r="H57" i="4"/>
  <c r="H56" i="4" s="1"/>
  <c r="H54" i="4"/>
  <c r="H49" i="4"/>
  <c r="H55" i="4"/>
  <c r="H36" i="4"/>
  <c r="H21" i="4"/>
  <c r="H29" i="4"/>
  <c r="F10" i="4"/>
  <c r="G10" i="4"/>
  <c r="G14" i="8" s="1"/>
  <c r="G7" i="4"/>
  <c r="G15" i="4"/>
  <c r="G33" i="4"/>
  <c r="I5" i="4"/>
  <c r="H39" i="4"/>
  <c r="H38" i="4"/>
  <c r="H42" i="4"/>
  <c r="H40" i="4"/>
  <c r="H37" i="4"/>
  <c r="H9" i="4"/>
  <c r="H30" i="4"/>
  <c r="H17" i="4"/>
  <c r="H11" i="4"/>
  <c r="H8" i="4"/>
  <c r="H34" i="4"/>
  <c r="H33" i="4" s="1"/>
  <c r="H27" i="4"/>
  <c r="H26" i="4"/>
  <c r="H14" i="4"/>
  <c r="H16" i="4"/>
  <c r="H13" i="4"/>
  <c r="H22" i="4"/>
  <c r="H10" i="4"/>
  <c r="H14" i="8" s="1"/>
  <c r="G28" i="4"/>
  <c r="G20" i="4"/>
  <c r="E6" i="4"/>
  <c r="L9" i="8" l="1"/>
  <c r="L19" i="8" s="1"/>
  <c r="L29" i="8" s="1"/>
  <c r="E68" i="3"/>
  <c r="G30" i="8"/>
  <c r="G31" i="8" s="1"/>
  <c r="G33" i="8" s="1"/>
  <c r="F47" i="4"/>
  <c r="H10" i="8"/>
  <c r="H11" i="8" s="1"/>
  <c r="H13" i="8" s="1"/>
  <c r="H15" i="8" s="1"/>
  <c r="H16" i="8" s="1"/>
  <c r="N9" i="6" s="1"/>
  <c r="G20" i="8"/>
  <c r="G40" i="8" s="1"/>
  <c r="G11" i="8"/>
  <c r="G13" i="8" s="1"/>
  <c r="G15" i="8" s="1"/>
  <c r="G16" i="8" s="1"/>
  <c r="G39" i="8"/>
  <c r="J42" i="8"/>
  <c r="K12" i="8"/>
  <c r="K22" i="8" s="1"/>
  <c r="K32" i="8" s="1"/>
  <c r="H39" i="8"/>
  <c r="F35" i="8"/>
  <c r="F36" i="8" s="1"/>
  <c r="M13" i="6" s="1"/>
  <c r="I51" i="4"/>
  <c r="I44" i="8" s="1"/>
  <c r="F21" i="8"/>
  <c r="F23" i="8" s="1"/>
  <c r="F40" i="8"/>
  <c r="F41" i="8" s="1"/>
  <c r="F43" i="8" s="1"/>
  <c r="F45" i="8" s="1"/>
  <c r="F46" i="8" s="1"/>
  <c r="M15" i="6" s="1"/>
  <c r="I23" i="4"/>
  <c r="F32" i="4"/>
  <c r="I49" i="4"/>
  <c r="I54" i="4"/>
  <c r="I55" i="4"/>
  <c r="I57" i="4"/>
  <c r="I36" i="4"/>
  <c r="I21" i="4"/>
  <c r="I29" i="4"/>
  <c r="H48" i="4"/>
  <c r="H47" i="4" s="1"/>
  <c r="G47" i="4"/>
  <c r="H15" i="4"/>
  <c r="F14" i="8"/>
  <c r="F15" i="8" s="1"/>
  <c r="F16" i="8" s="1"/>
  <c r="M9" i="6" s="1"/>
  <c r="F6" i="4"/>
  <c r="F24" i="8"/>
  <c r="H28" i="4"/>
  <c r="G19" i="4"/>
  <c r="F11" i="6" s="1"/>
  <c r="J5" i="4"/>
  <c r="I39" i="4"/>
  <c r="I42" i="4"/>
  <c r="I41" i="4" s="1"/>
  <c r="I38" i="4"/>
  <c r="I40" i="4"/>
  <c r="I37" i="4"/>
  <c r="I34" i="4"/>
  <c r="I33" i="4" s="1"/>
  <c r="I30" i="4"/>
  <c r="I26" i="4"/>
  <c r="I14" i="4"/>
  <c r="I11" i="4"/>
  <c r="I27" i="4"/>
  <c r="I22" i="4"/>
  <c r="I17" i="4"/>
  <c r="I9" i="4"/>
  <c r="I8" i="4"/>
  <c r="I16" i="4"/>
  <c r="I13" i="4"/>
  <c r="I10" i="4"/>
  <c r="I14" i="8" s="1"/>
  <c r="H7" i="4"/>
  <c r="H41" i="4"/>
  <c r="H32" i="4" s="1"/>
  <c r="G32" i="4"/>
  <c r="H20" i="4"/>
  <c r="G6" i="4"/>
  <c r="H20" i="8"/>
  <c r="G24" i="8"/>
  <c r="H6" i="4" l="1"/>
  <c r="H19" i="4"/>
  <c r="M9" i="8"/>
  <c r="M19" i="8" s="1"/>
  <c r="M29" i="8" s="1"/>
  <c r="G41" i="8"/>
  <c r="G43" i="8" s="1"/>
  <c r="G45" i="8" s="1"/>
  <c r="G46" i="8" s="1"/>
  <c r="F15" i="6"/>
  <c r="H30" i="8"/>
  <c r="H31" i="8" s="1"/>
  <c r="H33" i="8" s="1"/>
  <c r="H35" i="8" s="1"/>
  <c r="H36" i="8" s="1"/>
  <c r="N13" i="6" s="1"/>
  <c r="N14" i="6" s="1"/>
  <c r="I10" i="8"/>
  <c r="G21" i="8"/>
  <c r="G23" i="8" s="1"/>
  <c r="G25" i="8" s="1"/>
  <c r="G26" i="8" s="1"/>
  <c r="G35" i="8"/>
  <c r="G36" i="8" s="1"/>
  <c r="F25" i="8"/>
  <c r="F26" i="8" s="1"/>
  <c r="M11" i="6" s="1"/>
  <c r="M12" i="6" s="1"/>
  <c r="K42" i="8"/>
  <c r="L12" i="8"/>
  <c r="L22" i="8" s="1"/>
  <c r="L32" i="8" s="1"/>
  <c r="I39" i="8"/>
  <c r="J39" i="8"/>
  <c r="N9" i="8"/>
  <c r="N19" i="8" s="1"/>
  <c r="N29" i="8" s="1"/>
  <c r="J51" i="4"/>
  <c r="J44" i="8" s="1"/>
  <c r="M16" i="6"/>
  <c r="H21" i="8"/>
  <c r="H23" i="8" s="1"/>
  <c r="H40" i="8"/>
  <c r="H41" i="8" s="1"/>
  <c r="H43" i="8" s="1"/>
  <c r="H45" i="8" s="1"/>
  <c r="H46" i="8" s="1"/>
  <c r="J23" i="4"/>
  <c r="I56" i="4"/>
  <c r="J57" i="4"/>
  <c r="J55" i="4"/>
  <c r="J49" i="4"/>
  <c r="J54" i="4"/>
  <c r="J36" i="4"/>
  <c r="J21" i="4"/>
  <c r="J29" i="4"/>
  <c r="I48" i="4"/>
  <c r="M14" i="6"/>
  <c r="I15" i="4"/>
  <c r="I28" i="4"/>
  <c r="F9" i="6"/>
  <c r="I7" i="4"/>
  <c r="F13" i="6"/>
  <c r="I20" i="4"/>
  <c r="I32" i="4"/>
  <c r="K5" i="4"/>
  <c r="J42" i="4"/>
  <c r="J41" i="4" s="1"/>
  <c r="J40" i="4"/>
  <c r="J37" i="4"/>
  <c r="J38" i="4"/>
  <c r="J34" i="4"/>
  <c r="J39" i="4"/>
  <c r="J26" i="4"/>
  <c r="J16" i="4"/>
  <c r="J13" i="4"/>
  <c r="J17" i="4"/>
  <c r="J27" i="4"/>
  <c r="J22" i="4"/>
  <c r="J14" i="4"/>
  <c r="J30" i="4"/>
  <c r="J11" i="4"/>
  <c r="J9" i="4"/>
  <c r="J8" i="4"/>
  <c r="J10" i="4"/>
  <c r="J14" i="8" s="1"/>
  <c r="H24" i="8"/>
  <c r="I20" i="8" l="1"/>
  <c r="I40" i="8" s="1"/>
  <c r="I41" i="8" s="1"/>
  <c r="I43" i="8" s="1"/>
  <c r="I45" i="8" s="1"/>
  <c r="I46" i="8" s="1"/>
  <c r="I30" i="8"/>
  <c r="I31" i="8" s="1"/>
  <c r="I33" i="8" s="1"/>
  <c r="I35" i="8" s="1"/>
  <c r="I36" i="8" s="1"/>
  <c r="I11" i="8"/>
  <c r="I13" i="8" s="1"/>
  <c r="I15" i="8" s="1"/>
  <c r="I16" i="8" s="1"/>
  <c r="J10" i="8"/>
  <c r="L42" i="8"/>
  <c r="K39" i="8"/>
  <c r="M12" i="8"/>
  <c r="M22" i="8" s="1"/>
  <c r="M32" i="8" s="1"/>
  <c r="O9" i="8"/>
  <c r="O19" i="8" s="1"/>
  <c r="O29" i="8" s="1"/>
  <c r="F16" i="6"/>
  <c r="K51" i="4"/>
  <c r="K44" i="8" s="1"/>
  <c r="H25" i="8"/>
  <c r="H26" i="8" s="1"/>
  <c r="N11" i="6" s="1"/>
  <c r="N12" i="6" s="1"/>
  <c r="N15" i="6"/>
  <c r="N16" i="6" s="1"/>
  <c r="K23" i="4"/>
  <c r="I6" i="4"/>
  <c r="J56" i="4"/>
  <c r="K54" i="4"/>
  <c r="K49" i="4"/>
  <c r="K55" i="4"/>
  <c r="K57" i="4"/>
  <c r="K36" i="4"/>
  <c r="K21" i="4"/>
  <c r="K29" i="4"/>
  <c r="J48" i="4"/>
  <c r="I47" i="4"/>
  <c r="I19" i="4"/>
  <c r="J15" i="4"/>
  <c r="J7" i="4"/>
  <c r="F12" i="6"/>
  <c r="F14" i="6"/>
  <c r="J33" i="4"/>
  <c r="L5" i="4"/>
  <c r="K40" i="4"/>
  <c r="K37" i="4"/>
  <c r="K34" i="4"/>
  <c r="K33" i="4" s="1"/>
  <c r="K38" i="4"/>
  <c r="K42" i="4"/>
  <c r="K27" i="4"/>
  <c r="K22" i="4"/>
  <c r="K17" i="4"/>
  <c r="K39" i="4"/>
  <c r="K26" i="4"/>
  <c r="K30" i="4"/>
  <c r="K14" i="4"/>
  <c r="K11" i="4"/>
  <c r="K9" i="4"/>
  <c r="K16" i="4"/>
  <c r="K8" i="4"/>
  <c r="K13" i="4"/>
  <c r="K10" i="4"/>
  <c r="K14" i="8" s="1"/>
  <c r="J28" i="4"/>
  <c r="J20" i="4"/>
  <c r="I24" i="8"/>
  <c r="J47" i="4" l="1"/>
  <c r="J11" i="8"/>
  <c r="J13" i="8" s="1"/>
  <c r="J15" i="8" s="1"/>
  <c r="J16" i="8" s="1"/>
  <c r="I21" i="8"/>
  <c r="I23" i="8" s="1"/>
  <c r="I25" i="8" s="1"/>
  <c r="I26" i="8" s="1"/>
  <c r="K10" i="8"/>
  <c r="K30" i="8" s="1"/>
  <c r="K31" i="8" s="1"/>
  <c r="K33" i="8" s="1"/>
  <c r="J30" i="8"/>
  <c r="J31" i="8" s="1"/>
  <c r="J33" i="8" s="1"/>
  <c r="J35" i="8" s="1"/>
  <c r="J36" i="8" s="1"/>
  <c r="J20" i="8"/>
  <c r="J40" i="8" s="1"/>
  <c r="J41" i="8" s="1"/>
  <c r="J43" i="8" s="1"/>
  <c r="J45" i="8" s="1"/>
  <c r="J46" i="8" s="1"/>
  <c r="M42" i="8"/>
  <c r="N12" i="8"/>
  <c r="N22" i="8" s="1"/>
  <c r="N32" i="8" s="1"/>
  <c r="L39" i="8"/>
  <c r="P9" i="8"/>
  <c r="P19" i="8" s="1"/>
  <c r="P29" i="8" s="1"/>
  <c r="L51" i="4"/>
  <c r="L44" i="8" s="1"/>
  <c r="L23" i="4"/>
  <c r="J6" i="4"/>
  <c r="K56" i="4"/>
  <c r="L55" i="4"/>
  <c r="L49" i="4"/>
  <c r="L57" i="4"/>
  <c r="L54" i="4"/>
  <c r="L36" i="4"/>
  <c r="L21" i="4"/>
  <c r="L29" i="4"/>
  <c r="K48" i="4"/>
  <c r="K20" i="4"/>
  <c r="K15" i="4"/>
  <c r="K28" i="4"/>
  <c r="J19" i="4"/>
  <c r="K7" i="4"/>
  <c r="K41" i="4"/>
  <c r="K32" i="4" s="1"/>
  <c r="M5" i="4"/>
  <c r="L40" i="4"/>
  <c r="L37" i="4"/>
  <c r="L34" i="4"/>
  <c r="L33" i="4" s="1"/>
  <c r="L39" i="4"/>
  <c r="L8" i="4"/>
  <c r="L42" i="4"/>
  <c r="L41" i="4" s="1"/>
  <c r="L9" i="4"/>
  <c r="L30" i="4"/>
  <c r="L14" i="4"/>
  <c r="L38" i="4"/>
  <c r="L17" i="4"/>
  <c r="L27" i="4"/>
  <c r="L11" i="4"/>
  <c r="L13" i="4"/>
  <c r="L26" i="4"/>
  <c r="L22" i="4"/>
  <c r="L16" i="4"/>
  <c r="L10" i="4"/>
  <c r="L14" i="8" s="1"/>
  <c r="J32" i="4"/>
  <c r="K20" i="8"/>
  <c r="J24" i="8"/>
  <c r="K11" i="8" l="1"/>
  <c r="K13" i="8" s="1"/>
  <c r="K15" i="8" s="1"/>
  <c r="K16" i="8" s="1"/>
  <c r="L10" i="8"/>
  <c r="L30" i="8" s="1"/>
  <c r="L31" i="8" s="1"/>
  <c r="L33" i="8" s="1"/>
  <c r="J21" i="8"/>
  <c r="J23" i="8" s="1"/>
  <c r="J25" i="8" s="1"/>
  <c r="J26" i="8" s="1"/>
  <c r="O12" i="8"/>
  <c r="O22" i="8" s="1"/>
  <c r="O32" i="8" s="1"/>
  <c r="M39" i="8"/>
  <c r="Q9" i="8"/>
  <c r="Q19" i="8" s="1"/>
  <c r="Q29" i="8" s="1"/>
  <c r="K35" i="8"/>
  <c r="K36" i="8" s="1"/>
  <c r="M51" i="4"/>
  <c r="M44" i="8" s="1"/>
  <c r="K21" i="8"/>
  <c r="K23" i="8" s="1"/>
  <c r="K40" i="8"/>
  <c r="K41" i="8" s="1"/>
  <c r="K43" i="8" s="1"/>
  <c r="K45" i="8" s="1"/>
  <c r="K46" i="8" s="1"/>
  <c r="M23" i="4"/>
  <c r="K6" i="4"/>
  <c r="L56" i="4"/>
  <c r="K19" i="4"/>
  <c r="M55" i="4"/>
  <c r="M49" i="4"/>
  <c r="M57" i="4"/>
  <c r="M54" i="4"/>
  <c r="M36" i="4"/>
  <c r="M21" i="4"/>
  <c r="M29" i="4"/>
  <c r="L48" i="4"/>
  <c r="K47" i="4"/>
  <c r="L15" i="4"/>
  <c r="L7" i="4"/>
  <c r="L28" i="4"/>
  <c r="L20" i="4"/>
  <c r="L32" i="4"/>
  <c r="N5" i="4"/>
  <c r="M40" i="4"/>
  <c r="M37" i="4"/>
  <c r="M34" i="4"/>
  <c r="M39" i="4"/>
  <c r="M42" i="4"/>
  <c r="M41" i="4" s="1"/>
  <c r="M38" i="4"/>
  <c r="M11" i="4"/>
  <c r="M27" i="4"/>
  <c r="M22" i="4"/>
  <c r="M16" i="4"/>
  <c r="M13" i="4"/>
  <c r="M30" i="4"/>
  <c r="M26" i="4"/>
  <c r="M17" i="4"/>
  <c r="M14" i="4"/>
  <c r="M9" i="4"/>
  <c r="M8" i="4"/>
  <c r="M10" i="4"/>
  <c r="M14" i="8" s="1"/>
  <c r="K24" i="8"/>
  <c r="M10" i="8" l="1"/>
  <c r="L20" i="8"/>
  <c r="L21" i="8" s="1"/>
  <c r="L23" i="8" s="1"/>
  <c r="L11" i="8"/>
  <c r="L13" i="8" s="1"/>
  <c r="L15" i="8" s="1"/>
  <c r="L16" i="8" s="1"/>
  <c r="R9" i="8"/>
  <c r="R19" i="8" s="1"/>
  <c r="R29" i="8" s="1"/>
  <c r="O42" i="8"/>
  <c r="N42" i="8"/>
  <c r="N39" i="8"/>
  <c r="P12" i="8"/>
  <c r="P22" i="8" s="1"/>
  <c r="P32" i="8" s="1"/>
  <c r="L35" i="8"/>
  <c r="L36" i="8" s="1"/>
  <c r="M30" i="8"/>
  <c r="M31" i="8" s="1"/>
  <c r="M33" i="8" s="1"/>
  <c r="N51" i="4"/>
  <c r="N44" i="8" s="1"/>
  <c r="L47" i="4"/>
  <c r="K25" i="8"/>
  <c r="K26" i="8" s="1"/>
  <c r="N23" i="4"/>
  <c r="L6" i="4"/>
  <c r="L19" i="4"/>
  <c r="N49" i="4"/>
  <c r="N57" i="4"/>
  <c r="N54" i="4"/>
  <c r="N55" i="4"/>
  <c r="N36" i="4"/>
  <c r="N21" i="4"/>
  <c r="N29" i="4"/>
  <c r="M56" i="4"/>
  <c r="M48" i="4"/>
  <c r="M7" i="4"/>
  <c r="M20" i="4"/>
  <c r="M28" i="4"/>
  <c r="M33" i="4"/>
  <c r="M15" i="4"/>
  <c r="O5" i="4"/>
  <c r="N38" i="4"/>
  <c r="N34" i="4"/>
  <c r="N33" i="4" s="1"/>
  <c r="N39" i="4"/>
  <c r="N42" i="4"/>
  <c r="N41" i="4" s="1"/>
  <c r="N27" i="4"/>
  <c r="N22" i="4"/>
  <c r="N14" i="4"/>
  <c r="N40" i="4"/>
  <c r="N30" i="4"/>
  <c r="N26" i="4"/>
  <c r="N16" i="4"/>
  <c r="N13" i="4"/>
  <c r="N37" i="4"/>
  <c r="N11" i="4"/>
  <c r="N17" i="4"/>
  <c r="N9" i="4"/>
  <c r="N8" i="4"/>
  <c r="N10" i="4"/>
  <c r="N14" i="8" s="1"/>
  <c r="L24" i="8"/>
  <c r="N10" i="8"/>
  <c r="M11" i="8"/>
  <c r="M13" i="8" s="1"/>
  <c r="M15" i="8" s="1"/>
  <c r="M16" i="8" s="1"/>
  <c r="O9" i="6" s="1"/>
  <c r="M20" i="8"/>
  <c r="M6" i="4" l="1"/>
  <c r="S9" i="8"/>
  <c r="S19" i="8" s="1"/>
  <c r="S29" i="8" s="1"/>
  <c r="L40" i="8"/>
  <c r="L41" i="8" s="1"/>
  <c r="L43" i="8" s="1"/>
  <c r="L45" i="8" s="1"/>
  <c r="L46" i="8" s="1"/>
  <c r="M35" i="8"/>
  <c r="M36" i="8" s="1"/>
  <c r="O13" i="6" s="1"/>
  <c r="O14" i="6" s="1"/>
  <c r="Q12" i="8"/>
  <c r="Q22" i="8" s="1"/>
  <c r="Q32" i="8" s="1"/>
  <c r="O39" i="8"/>
  <c r="G9" i="6"/>
  <c r="N30" i="8"/>
  <c r="N31" i="8" s="1"/>
  <c r="N33" i="8" s="1"/>
  <c r="O51" i="4"/>
  <c r="O44" i="8" s="1"/>
  <c r="L25" i="8"/>
  <c r="L26" i="8" s="1"/>
  <c r="M21" i="8"/>
  <c r="M23" i="8" s="1"/>
  <c r="M40" i="8"/>
  <c r="M41" i="8" s="1"/>
  <c r="M43" i="8" s="1"/>
  <c r="M45" i="8" s="1"/>
  <c r="M46" i="8" s="1"/>
  <c r="O23" i="4"/>
  <c r="O55" i="4"/>
  <c r="O57" i="4"/>
  <c r="O54" i="4"/>
  <c r="O49" i="4"/>
  <c r="O36" i="4"/>
  <c r="O21" i="4"/>
  <c r="O29" i="4"/>
  <c r="M47" i="4"/>
  <c r="G15" i="6" s="1"/>
  <c r="N56" i="4"/>
  <c r="N28" i="4"/>
  <c r="N48" i="4"/>
  <c r="M19" i="4"/>
  <c r="G11" i="6" s="1"/>
  <c r="N7" i="4"/>
  <c r="N15" i="4"/>
  <c r="N20" i="4"/>
  <c r="P5" i="4"/>
  <c r="O38" i="4"/>
  <c r="O39" i="4"/>
  <c r="O42" i="4"/>
  <c r="O41" i="4" s="1"/>
  <c r="O40" i="4"/>
  <c r="O17" i="4"/>
  <c r="O26" i="4"/>
  <c r="O8" i="4"/>
  <c r="O37" i="4"/>
  <c r="O34" i="4"/>
  <c r="O33" i="4" s="1"/>
  <c r="O30" i="4"/>
  <c r="O13" i="4"/>
  <c r="O16" i="4"/>
  <c r="O14" i="4"/>
  <c r="O22" i="4"/>
  <c r="O27" i="4"/>
  <c r="O11" i="4"/>
  <c r="O9" i="4"/>
  <c r="O10" i="4"/>
  <c r="O14" i="8" s="1"/>
  <c r="M32" i="4"/>
  <c r="N32" i="4"/>
  <c r="M24" i="8"/>
  <c r="N11" i="8"/>
  <c r="N13" i="8" s="1"/>
  <c r="N15" i="8" s="1"/>
  <c r="N16" i="8" s="1"/>
  <c r="O10" i="8"/>
  <c r="N20" i="8"/>
  <c r="T9" i="8"/>
  <c r="T19" i="8" s="1"/>
  <c r="T29" i="8" s="1"/>
  <c r="G16" i="6" l="1"/>
  <c r="G12" i="6"/>
  <c r="Q42" i="8"/>
  <c r="P42" i="8"/>
  <c r="N35" i="8"/>
  <c r="N36" i="8" s="1"/>
  <c r="P39" i="8"/>
  <c r="R12" i="8"/>
  <c r="R22" i="8" s="1"/>
  <c r="R32" i="8" s="1"/>
  <c r="O30" i="8"/>
  <c r="O31" i="8" s="1"/>
  <c r="O33" i="8" s="1"/>
  <c r="M25" i="8"/>
  <c r="M26" i="8" s="1"/>
  <c r="O11" i="6" s="1"/>
  <c r="O12" i="6" s="1"/>
  <c r="P51" i="4"/>
  <c r="P44" i="8" s="1"/>
  <c r="O15" i="6"/>
  <c r="O16" i="6" s="1"/>
  <c r="N21" i="8"/>
  <c r="N23" i="8" s="1"/>
  <c r="N40" i="8"/>
  <c r="N41" i="8" s="1"/>
  <c r="N43" i="8" s="1"/>
  <c r="N45" i="8" s="1"/>
  <c r="N46" i="8" s="1"/>
  <c r="P23" i="4"/>
  <c r="O56" i="4"/>
  <c r="N47" i="4"/>
  <c r="O48" i="4"/>
  <c r="P57" i="4"/>
  <c r="P54" i="4"/>
  <c r="P49" i="4"/>
  <c r="P55" i="4"/>
  <c r="P36" i="4"/>
  <c r="P21" i="4"/>
  <c r="P29" i="4"/>
  <c r="N19" i="4"/>
  <c r="O15" i="4"/>
  <c r="O7" i="4"/>
  <c r="N6" i="4"/>
  <c r="O28" i="4"/>
  <c r="O32" i="4"/>
  <c r="Q5" i="4"/>
  <c r="P39" i="4"/>
  <c r="P38" i="4"/>
  <c r="P42" i="4"/>
  <c r="P41" i="4" s="1"/>
  <c r="P40" i="4"/>
  <c r="P37" i="4"/>
  <c r="P9" i="4"/>
  <c r="P30" i="4"/>
  <c r="P17" i="4"/>
  <c r="P34" i="4"/>
  <c r="P33" i="4" s="1"/>
  <c r="P11" i="4"/>
  <c r="P8" i="4"/>
  <c r="P16" i="4"/>
  <c r="P13" i="4"/>
  <c r="P14" i="4"/>
  <c r="P26" i="4"/>
  <c r="P22" i="4"/>
  <c r="P27" i="4"/>
  <c r="P10" i="4"/>
  <c r="P14" i="8" s="1"/>
  <c r="G13" i="6"/>
  <c r="G14" i="6" s="1"/>
  <c r="O20" i="4"/>
  <c r="P10" i="8"/>
  <c r="O11" i="8"/>
  <c r="O13" i="8" s="1"/>
  <c r="O15" i="8" s="1"/>
  <c r="O16" i="8" s="1"/>
  <c r="O20" i="8"/>
  <c r="N24" i="8"/>
  <c r="U9" i="8"/>
  <c r="U19" i="8" s="1"/>
  <c r="U29" i="8" s="1"/>
  <c r="R39" i="8" l="1"/>
  <c r="Q39" i="8"/>
  <c r="S12" i="8"/>
  <c r="S22" i="8" s="1"/>
  <c r="S32" i="8" s="1"/>
  <c r="S39" i="8"/>
  <c r="O35" i="8"/>
  <c r="O36" i="8" s="1"/>
  <c r="P30" i="8"/>
  <c r="P31" i="8" s="1"/>
  <c r="P33" i="8" s="1"/>
  <c r="Q51" i="4"/>
  <c r="Q44" i="8" s="1"/>
  <c r="O21" i="8"/>
  <c r="O23" i="8" s="1"/>
  <c r="O40" i="8"/>
  <c r="O41" i="8" s="1"/>
  <c r="O43" i="8" s="1"/>
  <c r="O45" i="8" s="1"/>
  <c r="O46" i="8" s="1"/>
  <c r="N25" i="8"/>
  <c r="N26" i="8" s="1"/>
  <c r="Q23" i="4"/>
  <c r="O47" i="4"/>
  <c r="O6" i="4"/>
  <c r="P48" i="4"/>
  <c r="P56" i="4"/>
  <c r="Q49" i="4"/>
  <c r="Q54" i="4"/>
  <c r="Q55" i="4"/>
  <c r="Q57" i="4"/>
  <c r="Q56" i="4" s="1"/>
  <c r="Q36" i="4"/>
  <c r="Q21" i="4"/>
  <c r="Q29" i="4"/>
  <c r="O19" i="4"/>
  <c r="P7" i="4"/>
  <c r="P15" i="4"/>
  <c r="P28" i="4"/>
  <c r="R5" i="4"/>
  <c r="Q39" i="4"/>
  <c r="Q42" i="4"/>
  <c r="Q41" i="4" s="1"/>
  <c r="Q38" i="4"/>
  <c r="Q40" i="4"/>
  <c r="Q37" i="4"/>
  <c r="Q34" i="4"/>
  <c r="Q33" i="4" s="1"/>
  <c r="Q30" i="4"/>
  <c r="Q26" i="4"/>
  <c r="Q14" i="4"/>
  <c r="Q11" i="4"/>
  <c r="Q27" i="4"/>
  <c r="Q22" i="4"/>
  <c r="Q8" i="4"/>
  <c r="Q13" i="4"/>
  <c r="Q16" i="4"/>
  <c r="Q9" i="4"/>
  <c r="Q17" i="4"/>
  <c r="Q10" i="4"/>
  <c r="Q14" i="8" s="1"/>
  <c r="P32" i="4"/>
  <c r="P20" i="4"/>
  <c r="P11" i="8"/>
  <c r="P13" i="8" s="1"/>
  <c r="P15" i="8" s="1"/>
  <c r="P16" i="8" s="1"/>
  <c r="Q10" i="8"/>
  <c r="P20" i="8"/>
  <c r="O24" i="8"/>
  <c r="V9" i="8"/>
  <c r="V19" i="8" s="1"/>
  <c r="V29" i="8" s="1"/>
  <c r="P35" i="8" l="1"/>
  <c r="P36" i="8" s="1"/>
  <c r="T12" i="8"/>
  <c r="T22" i="8" s="1"/>
  <c r="T32" i="8" s="1"/>
  <c r="Q30" i="8"/>
  <c r="Q31" i="8" s="1"/>
  <c r="Q33" i="8" s="1"/>
  <c r="R51" i="4"/>
  <c r="R44" i="8" s="1"/>
  <c r="O25" i="8"/>
  <c r="O26" i="8" s="1"/>
  <c r="P21" i="8"/>
  <c r="P23" i="8" s="1"/>
  <c r="P40" i="8"/>
  <c r="P41" i="8" s="1"/>
  <c r="P43" i="8" s="1"/>
  <c r="P45" i="8" s="1"/>
  <c r="P46" i="8" s="1"/>
  <c r="R23" i="4"/>
  <c r="P47" i="4"/>
  <c r="P19" i="4"/>
  <c r="P6" i="4"/>
  <c r="R57" i="4"/>
  <c r="R55" i="4"/>
  <c r="R54" i="4"/>
  <c r="R49" i="4"/>
  <c r="R36" i="4"/>
  <c r="R21" i="4"/>
  <c r="R29" i="4"/>
  <c r="Q48" i="4"/>
  <c r="Q47" i="4" s="1"/>
  <c r="Q15" i="4"/>
  <c r="Q7" i="4"/>
  <c r="Q28" i="4"/>
  <c r="Q32" i="4"/>
  <c r="Q20" i="4"/>
  <c r="S5" i="4"/>
  <c r="R42" i="4"/>
  <c r="R41" i="4" s="1"/>
  <c r="R40" i="4"/>
  <c r="R37" i="4"/>
  <c r="R38" i="4"/>
  <c r="R34" i="4"/>
  <c r="R33" i="4" s="1"/>
  <c r="R26" i="4"/>
  <c r="R16" i="4"/>
  <c r="R13" i="4"/>
  <c r="R17" i="4"/>
  <c r="R27" i="4"/>
  <c r="R22" i="4"/>
  <c r="R14" i="4"/>
  <c r="R9" i="4"/>
  <c r="R39" i="4"/>
  <c r="R8" i="4"/>
  <c r="R30" i="4"/>
  <c r="R11" i="4"/>
  <c r="R10" i="4"/>
  <c r="R14" i="8" s="1"/>
  <c r="Q11" i="8"/>
  <c r="Q13" i="8" s="1"/>
  <c r="Q15" i="8" s="1"/>
  <c r="Q16" i="8" s="1"/>
  <c r="R10" i="8"/>
  <c r="Q20" i="8"/>
  <c r="P24" i="8"/>
  <c r="W9" i="8"/>
  <c r="W19" i="8" s="1"/>
  <c r="W29" i="8" s="1"/>
  <c r="R42" i="8" l="1"/>
  <c r="T39" i="8"/>
  <c r="U12" i="8"/>
  <c r="U22" i="8" s="1"/>
  <c r="U32" i="8" s="1"/>
  <c r="P25" i="8"/>
  <c r="P26" i="8" s="1"/>
  <c r="Q35" i="8"/>
  <c r="Q36" i="8" s="1"/>
  <c r="S51" i="4"/>
  <c r="S44" i="8" s="1"/>
  <c r="R30" i="8"/>
  <c r="R31" i="8" s="1"/>
  <c r="R33" i="8" s="1"/>
  <c r="Q21" i="8"/>
  <c r="Q23" i="8" s="1"/>
  <c r="Q40" i="8"/>
  <c r="Q41" i="8" s="1"/>
  <c r="Q43" i="8" s="1"/>
  <c r="Q45" i="8" s="1"/>
  <c r="Q46" i="8" s="1"/>
  <c r="S23" i="4"/>
  <c r="R48" i="4"/>
  <c r="S54" i="4"/>
  <c r="S55" i="4"/>
  <c r="S49" i="4"/>
  <c r="S57" i="4"/>
  <c r="S36" i="4"/>
  <c r="S21" i="4"/>
  <c r="S29" i="4"/>
  <c r="R56" i="4"/>
  <c r="Q6" i="4"/>
  <c r="R7" i="4"/>
  <c r="R15" i="4"/>
  <c r="R28" i="4"/>
  <c r="R20" i="4"/>
  <c r="R32" i="4"/>
  <c r="T5" i="4"/>
  <c r="S40" i="4"/>
  <c r="S37" i="4"/>
  <c r="S34" i="4"/>
  <c r="S33" i="4" s="1"/>
  <c r="S38" i="4"/>
  <c r="S42" i="4"/>
  <c r="S41" i="4" s="1"/>
  <c r="S27" i="4"/>
  <c r="S22" i="4"/>
  <c r="S17" i="4"/>
  <c r="S39" i="4"/>
  <c r="S11" i="4"/>
  <c r="S8" i="4"/>
  <c r="S9" i="4"/>
  <c r="S16" i="4"/>
  <c r="S13" i="4"/>
  <c r="S26" i="4"/>
  <c r="S30" i="4"/>
  <c r="S14" i="4"/>
  <c r="S10" i="4"/>
  <c r="S14" i="8" s="1"/>
  <c r="Q19" i="4"/>
  <c r="Q24" i="8"/>
  <c r="S10" i="8"/>
  <c r="R11" i="8"/>
  <c r="R13" i="8" s="1"/>
  <c r="R15" i="8" s="1"/>
  <c r="R16" i="8" s="1"/>
  <c r="R20" i="8"/>
  <c r="S42" i="8" l="1"/>
  <c r="V12" i="8"/>
  <c r="V22" i="8" s="1"/>
  <c r="V32" i="8" s="1"/>
  <c r="V39" i="8"/>
  <c r="R35" i="8"/>
  <c r="R36" i="8" s="1"/>
  <c r="U39" i="8"/>
  <c r="T51" i="4"/>
  <c r="T44" i="8" s="1"/>
  <c r="S30" i="8"/>
  <c r="S31" i="8" s="1"/>
  <c r="S33" i="8" s="1"/>
  <c r="Q25" i="8"/>
  <c r="Q26" i="8" s="1"/>
  <c r="R21" i="8"/>
  <c r="R23" i="8" s="1"/>
  <c r="R40" i="8"/>
  <c r="R41" i="8" s="1"/>
  <c r="R43" i="8" s="1"/>
  <c r="R45" i="8" s="1"/>
  <c r="R46" i="8" s="1"/>
  <c r="T23" i="4"/>
  <c r="R47" i="4"/>
  <c r="S56" i="4"/>
  <c r="S48" i="4"/>
  <c r="R6" i="4"/>
  <c r="T55" i="4"/>
  <c r="T49" i="4"/>
  <c r="T57" i="4"/>
  <c r="T54" i="4"/>
  <c r="T36" i="4"/>
  <c r="T21" i="4"/>
  <c r="T29" i="4"/>
  <c r="S28" i="4"/>
  <c r="S7" i="4"/>
  <c r="R19" i="4"/>
  <c r="S15" i="4"/>
  <c r="S32" i="4"/>
  <c r="U5" i="4"/>
  <c r="T40" i="4"/>
  <c r="T37" i="4"/>
  <c r="T34" i="4"/>
  <c r="T33" i="4" s="1"/>
  <c r="T39" i="4"/>
  <c r="T42" i="4"/>
  <c r="T41" i="4" s="1"/>
  <c r="T8" i="4"/>
  <c r="T38" i="4"/>
  <c r="T30" i="4"/>
  <c r="T9" i="4"/>
  <c r="T14" i="4"/>
  <c r="T11" i="4"/>
  <c r="T26" i="4"/>
  <c r="T22" i="4"/>
  <c r="T16" i="4"/>
  <c r="T27" i="4"/>
  <c r="T13" i="4"/>
  <c r="T17" i="4"/>
  <c r="T10" i="4"/>
  <c r="T14" i="8" s="1"/>
  <c r="S20" i="4"/>
  <c r="R24" i="8"/>
  <c r="S11" i="8"/>
  <c r="S13" i="8" s="1"/>
  <c r="S15" i="8" s="1"/>
  <c r="S16" i="8" s="1"/>
  <c r="T10" i="8"/>
  <c r="S20" i="8"/>
  <c r="T42" i="8" l="1"/>
  <c r="W12" i="8"/>
  <c r="W22" i="8" s="1"/>
  <c r="W32" i="8" s="1"/>
  <c r="S35" i="8"/>
  <c r="S36" i="8" s="1"/>
  <c r="U51" i="4"/>
  <c r="U44" i="8" s="1"/>
  <c r="T30" i="8"/>
  <c r="T31" i="8" s="1"/>
  <c r="T33" i="8" s="1"/>
  <c r="S21" i="8"/>
  <c r="S23" i="8" s="1"/>
  <c r="S40" i="8"/>
  <c r="S41" i="8" s="1"/>
  <c r="S43" i="8" s="1"/>
  <c r="S45" i="8" s="1"/>
  <c r="S46" i="8" s="1"/>
  <c r="R25" i="8"/>
  <c r="R26" i="8" s="1"/>
  <c r="U23" i="4"/>
  <c r="S47" i="4"/>
  <c r="S19" i="4"/>
  <c r="T56" i="4"/>
  <c r="T48" i="4"/>
  <c r="U55" i="4"/>
  <c r="U49" i="4"/>
  <c r="U57" i="4"/>
  <c r="U54" i="4"/>
  <c r="U36" i="4"/>
  <c r="U21" i="4"/>
  <c r="U29" i="4"/>
  <c r="T7" i="4"/>
  <c r="S6" i="4"/>
  <c r="T28" i="4"/>
  <c r="T15" i="4"/>
  <c r="T32" i="4"/>
  <c r="T20" i="4"/>
  <c r="V5" i="4"/>
  <c r="U40" i="4"/>
  <c r="U37" i="4"/>
  <c r="U34" i="4"/>
  <c r="U33" i="4" s="1"/>
  <c r="U39" i="4"/>
  <c r="U42" i="4"/>
  <c r="U41" i="4" s="1"/>
  <c r="U11" i="4"/>
  <c r="U27" i="4"/>
  <c r="U22" i="4"/>
  <c r="U38" i="4"/>
  <c r="U16" i="4"/>
  <c r="U13" i="4"/>
  <c r="U30" i="4"/>
  <c r="U26" i="4"/>
  <c r="U14" i="4"/>
  <c r="U8" i="4"/>
  <c r="U9" i="4"/>
  <c r="U17" i="4"/>
  <c r="U10" i="4"/>
  <c r="U14" i="8" s="1"/>
  <c r="T11" i="8"/>
  <c r="T13" i="8" s="1"/>
  <c r="T15" i="8" s="1"/>
  <c r="T16" i="8" s="1"/>
  <c r="U10" i="8"/>
  <c r="T20" i="8"/>
  <c r="S24" i="8"/>
  <c r="T35" i="8" l="1"/>
  <c r="T36" i="8" s="1"/>
  <c r="T47" i="4"/>
  <c r="U30" i="8"/>
  <c r="U31" i="8" s="1"/>
  <c r="V51" i="4"/>
  <c r="V44" i="8" s="1"/>
  <c r="S25" i="8"/>
  <c r="S26" i="8" s="1"/>
  <c r="T21" i="8"/>
  <c r="T23" i="8" s="1"/>
  <c r="T40" i="8"/>
  <c r="T41" i="8" s="1"/>
  <c r="T43" i="8" s="1"/>
  <c r="T45" i="8" s="1"/>
  <c r="T46" i="8" s="1"/>
  <c r="V23" i="4"/>
  <c r="T6" i="4"/>
  <c r="U48" i="4"/>
  <c r="U56" i="4"/>
  <c r="V49" i="4"/>
  <c r="V57" i="4"/>
  <c r="V54" i="4"/>
  <c r="V55" i="4"/>
  <c r="V36" i="4"/>
  <c r="V21" i="4"/>
  <c r="V29" i="4"/>
  <c r="U15" i="4"/>
  <c r="U20" i="4"/>
  <c r="U28" i="4"/>
  <c r="T19" i="4"/>
  <c r="U7" i="4"/>
  <c r="W5" i="4"/>
  <c r="V38" i="4"/>
  <c r="V34" i="4"/>
  <c r="V33" i="4" s="1"/>
  <c r="V39" i="4"/>
  <c r="V42" i="4"/>
  <c r="V41" i="4" s="1"/>
  <c r="V27" i="4"/>
  <c r="V22" i="4"/>
  <c r="V14" i="4"/>
  <c r="V37" i="4"/>
  <c r="V30" i="4"/>
  <c r="V26" i="4"/>
  <c r="V16" i="4"/>
  <c r="V13" i="4"/>
  <c r="V11" i="4"/>
  <c r="V17" i="4"/>
  <c r="V8" i="4"/>
  <c r="V9" i="4"/>
  <c r="V40" i="4"/>
  <c r="V10" i="4"/>
  <c r="V14" i="8" s="1"/>
  <c r="U32" i="4"/>
  <c r="V10" i="8"/>
  <c r="U11" i="8"/>
  <c r="U13" i="8" s="1"/>
  <c r="U15" i="8" s="1"/>
  <c r="U16" i="8" s="1"/>
  <c r="U20" i="8"/>
  <c r="T24" i="8"/>
  <c r="C12" i="4"/>
  <c r="U6" i="4" l="1"/>
  <c r="V42" i="8"/>
  <c r="T25" i="8"/>
  <c r="T26" i="8" s="1"/>
  <c r="W51" i="4"/>
  <c r="W44" i="8" s="1"/>
  <c r="V30" i="8"/>
  <c r="V31" i="8" s="1"/>
  <c r="V33" i="8" s="1"/>
  <c r="U47" i="4"/>
  <c r="W39" i="8"/>
  <c r="U21" i="8"/>
  <c r="U23" i="8" s="1"/>
  <c r="U40" i="8"/>
  <c r="U41" i="8" s="1"/>
  <c r="W23" i="4"/>
  <c r="V48" i="4"/>
  <c r="V56" i="4"/>
  <c r="W55" i="4"/>
  <c r="C55" i="4" s="1"/>
  <c r="W57" i="4"/>
  <c r="W54" i="4"/>
  <c r="C54" i="4" s="1"/>
  <c r="W49" i="4"/>
  <c r="C49" i="4" s="1"/>
  <c r="C58" i="4"/>
  <c r="W36" i="4"/>
  <c r="W21" i="4"/>
  <c r="W29" i="4"/>
  <c r="V7" i="4"/>
  <c r="U19" i="4"/>
  <c r="V20" i="4"/>
  <c r="V28" i="4"/>
  <c r="V15" i="4"/>
  <c r="V32" i="4"/>
  <c r="W38" i="4"/>
  <c r="W39" i="4"/>
  <c r="C39" i="4" s="1"/>
  <c r="W42" i="4"/>
  <c r="W17" i="4"/>
  <c r="C17" i="4" s="1"/>
  <c r="W37" i="4"/>
  <c r="C37" i="4" s="1"/>
  <c r="W34" i="4"/>
  <c r="W26" i="4"/>
  <c r="C26" i="4" s="1"/>
  <c r="W8" i="4"/>
  <c r="C8" i="4" s="1"/>
  <c r="W14" i="4"/>
  <c r="C14" i="4" s="1"/>
  <c r="W22" i="4"/>
  <c r="C22" i="4" s="1"/>
  <c r="W9" i="4"/>
  <c r="C9" i="4" s="1"/>
  <c r="W27" i="4"/>
  <c r="C27" i="4" s="1"/>
  <c r="W11" i="4"/>
  <c r="C11" i="4" s="1"/>
  <c r="W13" i="4"/>
  <c r="W40" i="4"/>
  <c r="C40" i="4" s="1"/>
  <c r="W16" i="4"/>
  <c r="W30" i="4"/>
  <c r="C30" i="4" s="1"/>
  <c r="W10" i="4"/>
  <c r="W10" i="8"/>
  <c r="V11" i="8"/>
  <c r="V13" i="8" s="1"/>
  <c r="V20" i="8"/>
  <c r="U24" i="8"/>
  <c r="V47" i="4" l="1"/>
  <c r="C13" i="4"/>
  <c r="W42" i="8"/>
  <c r="V35" i="8"/>
  <c r="V36" i="8" s="1"/>
  <c r="U25" i="8"/>
  <c r="U26" i="8" s="1"/>
  <c r="C51" i="4"/>
  <c r="W30" i="8"/>
  <c r="V21" i="8"/>
  <c r="V23" i="8" s="1"/>
  <c r="V40" i="8"/>
  <c r="V41" i="8" s="1"/>
  <c r="V43" i="8" s="1"/>
  <c r="V45" i="8" s="1"/>
  <c r="V46" i="8" s="1"/>
  <c r="V6" i="4"/>
  <c r="W56" i="4"/>
  <c r="C57" i="4"/>
  <c r="W48" i="4"/>
  <c r="C48" i="4" s="1"/>
  <c r="C50" i="4"/>
  <c r="V19" i="4"/>
  <c r="W15" i="4"/>
  <c r="C15" i="4" s="1"/>
  <c r="W20" i="4"/>
  <c r="C16" i="4"/>
  <c r="W7" i="4"/>
  <c r="C7" i="4" s="1"/>
  <c r="C10" i="4"/>
  <c r="W14" i="8"/>
  <c r="C36" i="4"/>
  <c r="W33" i="4"/>
  <c r="C34" i="4"/>
  <c r="W41" i="4"/>
  <c r="C41" i="4" s="1"/>
  <c r="C42" i="4"/>
  <c r="W28" i="4"/>
  <c r="C28" i="4" s="1"/>
  <c r="C38" i="4"/>
  <c r="V15" i="8"/>
  <c r="V16" i="8" s="1"/>
  <c r="W24" i="8"/>
  <c r="V24" i="8"/>
  <c r="W11" i="8"/>
  <c r="W13" i="8" s="1"/>
  <c r="W20" i="8"/>
  <c r="C21" i="4"/>
  <c r="C29" i="4"/>
  <c r="V25" i="8" l="1"/>
  <c r="V26" i="8" s="1"/>
  <c r="W21" i="8"/>
  <c r="W23" i="8" s="1"/>
  <c r="W40" i="8"/>
  <c r="W41" i="8" s="1"/>
  <c r="W43" i="8" s="1"/>
  <c r="W45" i="8" s="1"/>
  <c r="W46" i="8" s="1"/>
  <c r="P15" i="6" s="1"/>
  <c r="W47" i="4"/>
  <c r="C47" i="4" s="1"/>
  <c r="C56" i="4"/>
  <c r="W6" i="4"/>
  <c r="C6" i="4" s="1"/>
  <c r="H9" i="6" s="1"/>
  <c r="W19" i="4"/>
  <c r="C19" i="4" s="1"/>
  <c r="W15" i="8"/>
  <c r="W16" i="8" s="1"/>
  <c r="P9" i="6" s="1"/>
  <c r="U42" i="8"/>
  <c r="U33" i="8"/>
  <c r="U35" i="8" s="1"/>
  <c r="U36" i="8" s="1"/>
  <c r="W32" i="4"/>
  <c r="C32" i="4" s="1"/>
  <c r="C33" i="4"/>
  <c r="W31" i="8"/>
  <c r="W33" i="8" s="1"/>
  <c r="W35" i="8" s="1"/>
  <c r="W36" i="8" s="1"/>
  <c r="P13" i="6" s="1"/>
  <c r="W25" i="8"/>
  <c r="W26" i="8" s="1"/>
  <c r="P11" i="6" s="1"/>
  <c r="C20" i="4"/>
  <c r="C23" i="4"/>
  <c r="E15" i="6" l="1"/>
  <c r="H15" i="6"/>
  <c r="H16" i="6" s="1"/>
  <c r="P16" i="6"/>
  <c r="U43" i="8"/>
  <c r="U45" i="8" s="1"/>
  <c r="U46" i="8" s="1"/>
  <c r="E9" i="6"/>
  <c r="P12" i="6"/>
  <c r="H13" i="6"/>
  <c r="H14" i="6" s="1"/>
  <c r="E13" i="6"/>
  <c r="P14" i="6"/>
  <c r="E11" i="6"/>
  <c r="H11" i="6"/>
  <c r="H12" i="6" s="1"/>
  <c r="E16" i="6" l="1"/>
  <c r="E12" i="6"/>
  <c r="E1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Ekaterina Kharitanovich</author>
  </authors>
  <commentList>
    <comment ref="E48" authorId="0" shapeId="0" xr:uid="{94004073-46EC-4910-B0FF-CC80B2BB1A5D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по средней кадастрвоой стоимости участков производственного назначения в г. Минске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Ekaterina Kharitanovich</author>
  </authors>
  <commentList>
    <comment ref="F6" authorId="0" shapeId="0" xr:uid="{CA535DEF-8461-445B-A589-FF06FF6CB644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при введении новых налогов или изменения ставок по существующим после даты заключения инвестиционного договора инвестор имеет право не уплачивать новый налог и/или применять старые ставки на протяжении действия инвестиционного договора, но не более 5 лет с его заключения  </t>
        </r>
      </text>
    </comment>
    <comment ref="G8" authorId="0" shapeId="0" xr:uid="{FE69863D-180F-45F0-818E-EB27E9855FA4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0% – при продаже готовой продукции за пределы ЕАЭС</t>
        </r>
      </text>
    </comment>
    <comment ref="G9" authorId="0" shapeId="0" xr:uid="{AA8FFB17-3D61-458B-8A4C-19E944E532DA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освобождение при экспорте готовой продукции за пределы ЕАЭС</t>
        </r>
      </text>
    </comment>
    <comment ref="G12" authorId="0" shapeId="0" xr:uid="{C1349B5F-2908-463D-BCB7-77BFCFB84243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освобождение при экспорте готовой продукции за пределы ЕАЭС</t>
        </r>
      </text>
    </comment>
    <comment ref="G14" authorId="0" shapeId="0" xr:uid="{2FDF3143-A536-4FFF-A50C-AEABDC92AD91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Прибыль резидентов СЭЗ, полученная от реализации товаров (работ, услуг) собственного производства на экспорт или другим резидентам СЭЗ освобождается от обложения налогом на прибыль.</t>
        </r>
      </text>
    </comment>
    <comment ref="G15" authorId="0" shapeId="0" xr:uid="{E70BC694-2BE7-4090-9991-BA3B35962765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в течение 3 лет и далее поквартально, если в предыдущем квартале осуществлялась реализация продукции, на которую распростроняются особенности налогообложения СЭЗ;
льгота не применяется в отношении объектов, сданных в аренду</t>
        </r>
      </text>
    </comment>
    <comment ref="E16" authorId="0" shapeId="0" xr:uid="{C6B720EC-754E-4F97-8924-264C4A76806B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для производственной зоны</t>
        </r>
      </text>
    </comment>
    <comment ref="G16" authorId="0" shapeId="0" xr:uid="{099AA4DD-1597-4ECA-A169-38471E3B08C4}">
      <text>
        <r>
          <rPr>
            <b/>
            <sz val="9"/>
            <color indexed="81"/>
            <rFont val="Tahoma"/>
            <family val="2"/>
            <charset val="204"/>
          </rPr>
          <t>Ekaterina Kharitanovich:</t>
        </r>
        <r>
          <rPr>
            <sz val="9"/>
            <color indexed="81"/>
            <rFont val="Tahoma"/>
            <family val="2"/>
            <charset val="204"/>
          </rPr>
          <t xml:space="preserve">
до принятия в эксплуатацию объектов строительства и и далее поквартально, если в предыдущем квартале осуществлялась реализация продукции, на которую распростроняются особенности налогообложения СЭЗ;
льгота не применяется в отношении объектов, сданных в аренду</t>
        </r>
      </text>
    </comment>
  </commentList>
</comments>
</file>

<file path=xl/sharedStrings.xml><?xml version="1.0" encoding="utf-8"?>
<sst xmlns="http://schemas.openxmlformats.org/spreadsheetml/2006/main" count="343" uniqueCount="232">
  <si>
    <t>Нормативный правовой акт, 
регламентирующий деятельность льготного налогового режима</t>
  </si>
  <si>
    <t>Перечень льготных налоговых режимов, действующих в Республике Беларусь при реализации инвестиционных проектов</t>
  </si>
  <si>
    <t>IT</t>
  </si>
  <si>
    <t>Алкоголь</t>
  </si>
  <si>
    <t>Туризм</t>
  </si>
  <si>
    <t>Наука
 и исследования</t>
  </si>
  <si>
    <t>Кто может получить льготы (отрасль) 
(выделено зеленым цветом)</t>
  </si>
  <si>
    <t>Телекоммуникации
 и связь</t>
  </si>
  <si>
    <t>Общественное
 питание</t>
  </si>
  <si>
    <t>Сельское
 хозяйство</t>
  </si>
  <si>
    <t>Табачные
 изделия</t>
  </si>
  <si>
    <t>Оптовая
 торговля</t>
  </si>
  <si>
    <t>Розничная
 торговля</t>
  </si>
  <si>
    <t>нет</t>
  </si>
  <si>
    <t>Инвестиционный договор</t>
  </si>
  <si>
    <t>Строительство 
и недвижимость</t>
  </si>
  <si>
    <t>Свободная экономическая зона</t>
  </si>
  <si>
    <t>Медицина</t>
  </si>
  <si>
    <t>Банки и 
страхование</t>
  </si>
  <si>
    <t>Границы Свободных 
экономических зон, определенные НПА.</t>
  </si>
  <si>
    <t>Наименование льготного налогового режима</t>
  </si>
  <si>
    <t>№ п/п</t>
  </si>
  <si>
    <t>Показатель</t>
  </si>
  <si>
    <t xml:space="preserve">ед. изм. </t>
  </si>
  <si>
    <t>1.</t>
  </si>
  <si>
    <t>Площадь территории предприятия</t>
  </si>
  <si>
    <t>га</t>
  </si>
  <si>
    <t>Площадь помещений</t>
  </si>
  <si>
    <t>м2</t>
  </si>
  <si>
    <t>в т.ч.</t>
  </si>
  <si>
    <t>Производственный корпус</t>
  </si>
  <si>
    <t>Административно-бытовой корпус</t>
  </si>
  <si>
    <t>Складские помещения</t>
  </si>
  <si>
    <t>3.</t>
  </si>
  <si>
    <t>тыс. USD</t>
  </si>
  <si>
    <t>в.т.ч.</t>
  </si>
  <si>
    <t>Здания и сооружения</t>
  </si>
  <si>
    <t>Машины и оборудование</t>
  </si>
  <si>
    <t>4.</t>
  </si>
  <si>
    <t>5.</t>
  </si>
  <si>
    <t>Внутренний рынок</t>
  </si>
  <si>
    <t>Экспорт</t>
  </si>
  <si>
    <t>6.</t>
  </si>
  <si>
    <t>7.</t>
  </si>
  <si>
    <t>Рентабельность продаж</t>
  </si>
  <si>
    <t>%</t>
  </si>
  <si>
    <t>тыс. EUR</t>
  </si>
  <si>
    <t>Минимальный объем
 инвестиций для получения льгот</t>
  </si>
  <si>
    <t>Вид льготного режима для инвестора</t>
  </si>
  <si>
    <t>Значение</t>
  </si>
  <si>
    <t>Минимальный объем
 инвестиций для получения льгот в проектах, реализующих проект более 3 лет</t>
  </si>
  <si>
    <t>Период реализации
 инвестиционного проекта, (не более, лет)</t>
  </si>
  <si>
    <t>-</t>
  </si>
  <si>
    <t>Основные финансовые критерии реализации инвестпроектов при получении льгот в особых налоговых режимах Беларуси</t>
  </si>
  <si>
    <t>Налог на добавленную стоимость</t>
  </si>
  <si>
    <t>Таможенные пошлины</t>
  </si>
  <si>
    <t>Налог на 
недвижимость</t>
  </si>
  <si>
    <t>Экологический налог</t>
  </si>
  <si>
    <t>Земельный налог</t>
  </si>
  <si>
    <t>Подоходный налог для физических лиц</t>
  </si>
  <si>
    <t xml:space="preserve">Отчисления в Фонд социальной
 защиты Министерства труда и социальной защиты </t>
  </si>
  <si>
    <t>Оффшорный сбор</t>
  </si>
  <si>
    <t xml:space="preserve">    при продаже продукции (работ, услуг)</t>
  </si>
  <si>
    <t xml:space="preserve">    при импорте сырья</t>
  </si>
  <si>
    <t xml:space="preserve">    при импорте оборудования</t>
  </si>
  <si>
    <t>Вид налога</t>
  </si>
  <si>
    <t>СЭЗ</t>
  </si>
  <si>
    <t>Налоги, уплачиваемые организациями в льготных налоговых режимах Беларуси</t>
  </si>
  <si>
    <t>Акциз</t>
  </si>
  <si>
    <t>Примечание:</t>
  </si>
  <si>
    <t>Налогооблагаемая база</t>
  </si>
  <si>
    <t>Стоимость 
импортируемого сырья</t>
  </si>
  <si>
    <t>Стоимость 
импортируемого оборудования</t>
  </si>
  <si>
    <t>освобождение</t>
  </si>
  <si>
    <t>Налог на прибыль</t>
  </si>
  <si>
    <t>Налооблагаемая прибыль</t>
  </si>
  <si>
    <t>по расчету</t>
  </si>
  <si>
    <t>Кадастровая стоимость 
земельного участка</t>
  </si>
  <si>
    <t>Остаточная стоимость 
зданий и сооружений</t>
  </si>
  <si>
    <t>Фонд оплаты труда</t>
  </si>
  <si>
    <t>Начисленная
 заработная плата</t>
  </si>
  <si>
    <t>Средства, перечисляемые
 в офшорную юрисдикцию</t>
  </si>
  <si>
    <t>Налог на дивиденды</t>
  </si>
  <si>
    <t>Чистая прибыль, направленная на дивиденды</t>
  </si>
  <si>
    <t>Стоимость продукции, реализованной на внутреннем рынке</t>
  </si>
  <si>
    <t>Материальные затраты</t>
  </si>
  <si>
    <t>Расходы на оплату труда</t>
  </si>
  <si>
    <t>Отчисления на социальные нужды</t>
  </si>
  <si>
    <t>Амортизация ОС и НМА</t>
  </si>
  <si>
    <t xml:space="preserve">   Здания и сооружения</t>
  </si>
  <si>
    <t xml:space="preserve">   Машины и оборудование</t>
  </si>
  <si>
    <t>Прочие затраты</t>
  </si>
  <si>
    <t>от выручки</t>
  </si>
  <si>
    <t xml:space="preserve">   в т.ч. </t>
  </si>
  <si>
    <t xml:space="preserve">   земельный налог</t>
  </si>
  <si>
    <t xml:space="preserve">   налог на недвижимость</t>
  </si>
  <si>
    <t xml:space="preserve">   иные расходы</t>
  </si>
  <si>
    <t xml:space="preserve">   таможенные пошлины при импорте сырья</t>
  </si>
  <si>
    <t>доля импортного сырья</t>
  </si>
  <si>
    <t xml:space="preserve">     Численность персонала</t>
  </si>
  <si>
    <t xml:space="preserve">     Средняя заработная плата </t>
  </si>
  <si>
    <t>человек</t>
  </si>
  <si>
    <t>USD</t>
  </si>
  <si>
    <t>Себестоимость производства и реализации продукции</t>
  </si>
  <si>
    <t>Прибыль от текущей деятельности</t>
  </si>
  <si>
    <t>Проценты по кредитам и займам</t>
  </si>
  <si>
    <t xml:space="preserve">   Срок кредитования</t>
  </si>
  <si>
    <t>лет</t>
  </si>
  <si>
    <t xml:space="preserve">   Ставка по кредиту</t>
  </si>
  <si>
    <t xml:space="preserve">   Доля кредита в объеме инвестиций</t>
  </si>
  <si>
    <t>Прибыль до налогообложения</t>
  </si>
  <si>
    <t>Исходные условия</t>
  </si>
  <si>
    <t xml:space="preserve">Чистая прибыль </t>
  </si>
  <si>
    <t>Срок реализации инвестиционного проекта</t>
  </si>
  <si>
    <t>2.</t>
  </si>
  <si>
    <t xml:space="preserve">  в т.ч.</t>
  </si>
  <si>
    <t>Выручка от реализации продукции (в год) (без НДС)</t>
  </si>
  <si>
    <t>Портрет типового белорусского инвестора</t>
  </si>
  <si>
    <t>Чистый доход</t>
  </si>
  <si>
    <t>12.</t>
  </si>
  <si>
    <t xml:space="preserve">    Налог на добавленную стоимость</t>
  </si>
  <si>
    <t xml:space="preserve">    Налог на прибыль</t>
  </si>
  <si>
    <t xml:space="preserve">    Налог на недвижимость</t>
  </si>
  <si>
    <t xml:space="preserve">    Отчисления в ФСЗН</t>
  </si>
  <si>
    <t xml:space="preserve">    Подоходный налог</t>
  </si>
  <si>
    <t xml:space="preserve">          при импорте сырья</t>
  </si>
  <si>
    <t xml:space="preserve">          при импорте оборудования</t>
  </si>
  <si>
    <t xml:space="preserve">         при импорте сырья</t>
  </si>
  <si>
    <t xml:space="preserve">        при импорте оборудования</t>
  </si>
  <si>
    <t xml:space="preserve">    Земельный налог</t>
  </si>
  <si>
    <t xml:space="preserve">    Таможенные пошлины </t>
  </si>
  <si>
    <t>Стандартная система налогообложения</t>
  </si>
  <si>
    <t>ВСЕГО за 20 лет:</t>
  </si>
  <si>
    <t>В т.ч. по годам реализации проекта, тыс. USD</t>
  </si>
  <si>
    <t>Суммы налогов, уплачиваемых типовым инвестором, в различных преференциальных налоговых зонах Беларуси</t>
  </si>
  <si>
    <t xml:space="preserve">   Выручка</t>
  </si>
  <si>
    <t xml:space="preserve">   Себестоимость</t>
  </si>
  <si>
    <t xml:space="preserve">   Прибыль от реализации </t>
  </si>
  <si>
    <t xml:space="preserve">   Расходы от финансовой деятельности</t>
  </si>
  <si>
    <t xml:space="preserve">   Прибыль до налогообложения</t>
  </si>
  <si>
    <t xml:space="preserve">   Налог на прибыль</t>
  </si>
  <si>
    <t xml:space="preserve">   Чистая прибыль</t>
  </si>
  <si>
    <t xml:space="preserve">   Рентабельность продаж</t>
  </si>
  <si>
    <t>Сравнение финансовых результатов в различных преференциальных налоговых зонах Беларуси</t>
  </si>
  <si>
    <t>за 5 лет</t>
  </si>
  <si>
    <t>за 10 лет</t>
  </si>
  <si>
    <t>за 20 лет</t>
  </si>
  <si>
    <t>в среднем 
за год</t>
  </si>
  <si>
    <t>Налоги, уплаченные инвестором</t>
  </si>
  <si>
    <t xml:space="preserve">   % экономии по сравнению 
со стандартной системой налогообложения</t>
  </si>
  <si>
    <t>Значение показателя</t>
  </si>
  <si>
    <t>Ед.изм.</t>
  </si>
  <si>
    <t xml:space="preserve">   эффект по сравнению 
со стандартной системой налогообложения</t>
  </si>
  <si>
    <t>5-ый год</t>
  </si>
  <si>
    <t>10-ый год</t>
  </si>
  <si>
    <t>20-ый год</t>
  </si>
  <si>
    <t>3-ий год*</t>
  </si>
  <si>
    <t>Сравнение налоговой нагрузки для типового инвестора 
в различных преференциальных налоговых режимах Беларуси</t>
  </si>
  <si>
    <t>Сравнение показателей рентабельности бизнеса инвестора
в различных преференциальных налоговых режимах Беларуси</t>
  </si>
  <si>
    <t>Примечание: классификация критериев получения статуса резидента 
в особых экономических зонах Беларуси представлены во вкладках, выделенных синим цветом</t>
  </si>
  <si>
    <t>6.1.</t>
  </si>
  <si>
    <t>6.2.</t>
  </si>
  <si>
    <t>6.3.</t>
  </si>
  <si>
    <t>6.4.</t>
  </si>
  <si>
    <t>6.5.</t>
  </si>
  <si>
    <t>8.</t>
  </si>
  <si>
    <t xml:space="preserve">9. </t>
  </si>
  <si>
    <t>10.</t>
  </si>
  <si>
    <t xml:space="preserve">11. </t>
  </si>
  <si>
    <t>13.</t>
  </si>
  <si>
    <r>
      <t xml:space="preserve">*Примечание: Детализация расчетов представлена во вкладке </t>
    </r>
    <r>
      <rPr>
        <i/>
        <sz val="12"/>
        <color rgb="FFFF0000"/>
        <rFont val="Calibri"/>
        <family val="2"/>
        <charset val="204"/>
        <scheme val="minor"/>
      </rPr>
      <t>"Сравнение налоговой нагрузки"</t>
    </r>
  </si>
  <si>
    <t>* Примечание 1: первый год получения выручки по проекту</t>
  </si>
  <si>
    <r>
      <t xml:space="preserve">Примечание 2: Детализация расчетов представлена во вкладке </t>
    </r>
    <r>
      <rPr>
        <i/>
        <sz val="11"/>
        <color rgb="FFFF0000"/>
        <rFont val="Calibri"/>
        <family val="2"/>
        <charset val="204"/>
        <scheme val="minor"/>
      </rPr>
      <t>"Сравнение финпоказателей"</t>
    </r>
  </si>
  <si>
    <t>Товары, импортируемые из стран ЕАЭС, как правило, освобождаются от пошлин</t>
  </si>
  <si>
    <t>Льготные ставки для отдельных категорий товаров</t>
  </si>
  <si>
    <t>Ставка зависит от функционального назначения (ст.241 Особенной части НК)</t>
  </si>
  <si>
    <t>Фактические объемы выбросов/отходов</t>
  </si>
  <si>
    <t>0% - если дивиденды не начислялись в течение 5 лет (ожидается отмена с 2028)</t>
  </si>
  <si>
    <t>Закон от 8 января 2024 года № 350-З «Об инвестициях»</t>
  </si>
  <si>
    <t>освобождение до конца года, следующего за годом принятия строения в эксплуатацию</t>
  </si>
  <si>
    <t>освобождение в отношении прибыли от реализации продукции, произведенной на созданных в рамках проекта объектах, на 5 лет с момента прекращения договора</t>
  </si>
  <si>
    <t>Ставка зависит от вида загрязнения и класса опасности</t>
  </si>
  <si>
    <t>Инвестиционный 
договор/ специальный инвестиционный договор</t>
  </si>
  <si>
    <t>Логистика</t>
  </si>
  <si>
    <t>Промышленность</t>
  </si>
  <si>
    <t>в зависимости от вида деятельности (Постановление СМ №417 от 13.07.2024)</t>
  </si>
  <si>
    <t>Указ Президента Республики 
Беларусь от 9.06.2005 г. №262 "О некоторых вопросах деятельности свободных экономических зон на территории Республики Беларусь";
ст.382-383 НК РБ</t>
  </si>
  <si>
    <t>освобождение по объектам в границах СЭЗ</t>
  </si>
  <si>
    <t>освобождение по участкам в границах СЭЗ</t>
  </si>
  <si>
    <t>Таможенная стоимость/
единица объема</t>
  </si>
  <si>
    <t>деятельность должна быть связана с производством с долей экспорта &gt;= 70% продукции собственного производства</t>
  </si>
  <si>
    <t>от 0% до 100%/
фиксированная ставка за единицу</t>
  </si>
  <si>
    <t>Курс валют</t>
  </si>
  <si>
    <t>BYN/USD</t>
  </si>
  <si>
    <t>BYN/EUR</t>
  </si>
  <si>
    <t>Границы особой экономической зоны</t>
  </si>
  <si>
    <t>Голубым цветом выделены ячейки
 с моделируемыми параметрами (нужно вносить данные)</t>
  </si>
  <si>
    <t>Средняя ЗП по стране</t>
  </si>
  <si>
    <t>О начисленной средней заработной плате работников</t>
  </si>
  <si>
    <t>в т.ч. за пределы ЕАЭС</t>
  </si>
  <si>
    <t>Объем инвестиций (с учетом НДС)</t>
  </si>
  <si>
    <t>в т.ч. импортные</t>
  </si>
  <si>
    <t>BYN</t>
  </si>
  <si>
    <t>в т.ч. выручка в рамках инвестиционного договора</t>
  </si>
  <si>
    <t>Комбинирование льгот &gt;&gt;&gt;</t>
  </si>
  <si>
    <t>Свободная экономическая зона+
инвестиционный договор</t>
  </si>
  <si>
    <t>в т.ч. экспорт</t>
  </si>
  <si>
    <t>если применимо</t>
  </si>
  <si>
    <t>Требования:</t>
  </si>
  <si>
    <t>- соответствие приоритетным видам деятельности, определенных Правительством;</t>
  </si>
  <si>
    <t>Льготы:</t>
  </si>
  <si>
    <t>1. стабоговорка – стабильность налогового законодательства до 5 лет;</t>
  </si>
  <si>
    <t>2. освобождение от налога на прибыль при реализации товаров собственного производства в течение 5 лет;</t>
  </si>
  <si>
    <t>3. возмещение затрат по созданию внешней инфраструктуры (только для проектов в отстающих районах);</t>
  </si>
  <si>
    <t>4. изменение функционального назначения отдельных частей объекта, в том числе до завершения его строительства;</t>
  </si>
  <si>
    <t>5. снижение требований к размерам санитарно-защитных зон, которые предусмотрены градостроительными проектами;</t>
  </si>
  <si>
    <t>6. предоставление земельного участка требуемого размера, не включенного в перечень участков для реализации инвестпроектов) без проведения аукциона;</t>
  </si>
  <si>
    <t>7. освобождение от ввозного НДС по техоборудованию;</t>
  </si>
  <si>
    <t>8. предоставление земельного участка, включенного в перечень участков для реализации инвестиционных проектов, без проведения аукциона;</t>
  </si>
  <si>
    <t>9. освобождение от НДС при безвозмездной передаче и получении основных средств в целях реализации проекта;</t>
  </si>
  <si>
    <t>10. освобождение от земельного налога, арендной платы за земельные участки на период реализации проекта +1 год;</t>
  </si>
  <si>
    <t>11. осуществление вычета в полном объеме сумм НДС (при приобретении товаров (работ, услуг), использованных для строительства, оснащения объектов в рамках инвестпроекта);</t>
  </si>
  <si>
    <t>12. освобождение от платы за право аренды земельного участка и др.</t>
  </si>
  <si>
    <t>- минимальный объем инвестиций;</t>
  </si>
  <si>
    <t>- подтверждение эффективности проекта путем проведения финансово-экономической оценки.</t>
  </si>
  <si>
    <t>Для получения права на применение налоговых льгот, организации и их деятельность должны соответствовать определенным требованиям:</t>
  </si>
  <si>
    <t>- Соответствие определенным видам деятельности;</t>
  </si>
  <si>
    <t>Требования для получения статуса резидента Свободно-экономической зоны:</t>
  </si>
  <si>
    <t>- Проект должен предусматривать создание и (или) развитие производства, ориентированного на экспорт и (или) импортозамещение.</t>
  </si>
  <si>
    <t>- Достижение минимального уровня инвестиций по проекту: 1 млн EUR за весь период или 500 тыс. EUR в теч. 3 лет;</t>
  </si>
  <si>
    <t>- Территориальное расположение в границах СЭЗ;</t>
  </si>
  <si>
    <t xml:space="preserve">В Республике Беларусь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</si>
</sst>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.0000"/>
  </numFmts>
  <fonts count="4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1"/>
      <color theme="7" tint="-0.499984740745262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42040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5693C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1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164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0" fillId="3" borderId="13" xfId="0" applyFill="1" applyBorder="1"/>
    <xf numFmtId="0" fontId="1" fillId="3" borderId="0" xfId="0" applyFont="1" applyFill="1"/>
    <xf numFmtId="0" fontId="1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5" fillId="3" borderId="0" xfId="0" applyFont="1" applyFill="1"/>
    <xf numFmtId="0" fontId="1" fillId="3" borderId="13" xfId="0" applyFont="1" applyFill="1" applyBorder="1" applyAlignment="1">
      <alignment vertical="center"/>
    </xf>
    <xf numFmtId="0" fontId="1" fillId="3" borderId="13" xfId="0" applyFont="1" applyFill="1" applyBorder="1"/>
    <xf numFmtId="0" fontId="15" fillId="3" borderId="13" xfId="0" applyFont="1" applyFill="1" applyBorder="1"/>
    <xf numFmtId="0" fontId="0" fillId="3" borderId="13" xfId="0" applyFill="1" applyBorder="1" applyAlignment="1">
      <alignment wrapText="1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15" fillId="3" borderId="9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9" fontId="8" fillId="3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1" xfId="0" applyFont="1" applyFill="1" applyBorder="1" applyAlignment="1">
      <alignment horizontal="center"/>
    </xf>
    <xf numFmtId="0" fontId="10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9" fillId="3" borderId="11" xfId="0" applyFont="1" applyFill="1" applyBorder="1"/>
    <xf numFmtId="3" fontId="9" fillId="3" borderId="11" xfId="0" applyNumberFormat="1" applyFont="1" applyFill="1" applyBorder="1" applyAlignment="1">
      <alignment horizontal="center"/>
    </xf>
    <xf numFmtId="0" fontId="10" fillId="3" borderId="0" xfId="0" applyFont="1" applyFill="1"/>
    <xf numFmtId="9" fontId="10" fillId="3" borderId="0" xfId="0" applyNumberFormat="1" applyFont="1" applyFill="1" applyAlignment="1">
      <alignment horizontal="center"/>
    </xf>
    <xf numFmtId="166" fontId="10" fillId="3" borderId="0" xfId="0" applyNumberFormat="1" applyFont="1" applyFill="1" applyAlignment="1">
      <alignment horizontal="center"/>
    </xf>
    <xf numFmtId="166" fontId="10" fillId="3" borderId="11" xfId="0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horizontal="center"/>
    </xf>
    <xf numFmtId="3" fontId="18" fillId="3" borderId="0" xfId="0" applyNumberFormat="1" applyFont="1" applyFill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165" fontId="1" fillId="3" borderId="11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5" fillId="3" borderId="0" xfId="0" applyFont="1" applyFill="1" applyAlignment="1">
      <alignment horizontal="right"/>
    </xf>
    <xf numFmtId="0" fontId="15" fillId="0" borderId="0" xfId="0" applyFont="1"/>
    <xf numFmtId="0" fontId="1" fillId="0" borderId="0" xfId="0" applyFont="1"/>
    <xf numFmtId="3" fontId="1" fillId="3" borderId="13" xfId="0" applyNumberFormat="1" applyFont="1" applyFill="1" applyBorder="1" applyAlignment="1">
      <alignment horizontal="center"/>
    </xf>
    <xf numFmtId="3" fontId="15" fillId="3" borderId="13" xfId="0" applyNumberFormat="1" applyFont="1" applyFill="1" applyBorder="1" applyAlignment="1">
      <alignment horizontal="center"/>
    </xf>
    <xf numFmtId="3" fontId="15" fillId="3" borderId="9" xfId="0" applyNumberFormat="1" applyFon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15" fillId="3" borderId="1" xfId="0" applyFont="1" applyFill="1" applyBorder="1"/>
    <xf numFmtId="3" fontId="0" fillId="3" borderId="0" xfId="0" applyNumberForma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" fillId="3" borderId="4" xfId="0" applyFont="1" applyFill="1" applyBorder="1"/>
    <xf numFmtId="3" fontId="1" fillId="3" borderId="4" xfId="0" applyNumberFormat="1" applyFont="1" applyFill="1" applyBorder="1" applyAlignment="1">
      <alignment horizontal="center"/>
    </xf>
    <xf numFmtId="0" fontId="15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3" fontId="23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/>
    <xf numFmtId="0" fontId="26" fillId="3" borderId="13" xfId="0" applyFont="1" applyFill="1" applyBorder="1"/>
    <xf numFmtId="0" fontId="24" fillId="3" borderId="13" xfId="0" applyFont="1" applyFill="1" applyBorder="1"/>
    <xf numFmtId="0" fontId="18" fillId="3" borderId="2" xfId="0" applyFont="1" applyFill="1" applyBorder="1" applyAlignment="1">
      <alignment wrapText="1"/>
    </xf>
    <xf numFmtId="166" fontId="26" fillId="3" borderId="0" xfId="0" applyNumberFormat="1" applyFont="1" applyFill="1" applyAlignment="1">
      <alignment horizontal="center" vertical="center"/>
    </xf>
    <xf numFmtId="165" fontId="18" fillId="3" borderId="11" xfId="0" applyNumberFormat="1" applyFont="1" applyFill="1" applyBorder="1" applyAlignment="1">
      <alignment horizontal="center" vertical="center"/>
    </xf>
    <xf numFmtId="0" fontId="26" fillId="3" borderId="1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 wrapText="1"/>
    </xf>
    <xf numFmtId="165" fontId="15" fillId="3" borderId="11" xfId="0" applyNumberFormat="1" applyFont="1" applyFill="1" applyBorder="1" applyAlignment="1">
      <alignment horizontal="center" vertical="center"/>
    </xf>
    <xf numFmtId="0" fontId="21" fillId="3" borderId="0" xfId="0" applyFont="1" applyFill="1"/>
    <xf numFmtId="0" fontId="30" fillId="3" borderId="0" xfId="0" applyFont="1" applyFill="1"/>
    <xf numFmtId="165" fontId="26" fillId="3" borderId="0" xfId="0" applyNumberFormat="1" applyFont="1" applyFill="1" applyAlignment="1">
      <alignment horizontal="center" vertical="center"/>
    </xf>
    <xf numFmtId="165" fontId="24" fillId="3" borderId="0" xfId="0" applyNumberFormat="1" applyFont="1" applyFill="1" applyAlignment="1">
      <alignment horizontal="center" vertical="center"/>
    </xf>
    <xf numFmtId="166" fontId="11" fillId="3" borderId="0" xfId="0" applyNumberFormat="1" applyFont="1" applyFill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165" fontId="18" fillId="3" borderId="10" xfId="0" applyNumberFormat="1" applyFont="1" applyFill="1" applyBorder="1" applyAlignment="1">
      <alignment horizontal="center" vertical="center"/>
    </xf>
    <xf numFmtId="165" fontId="15" fillId="3" borderId="10" xfId="0" applyNumberFormat="1" applyFont="1" applyFill="1" applyBorder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11" fillId="3" borderId="15" xfId="0" applyNumberFormat="1" applyFont="1" applyFill="1" applyBorder="1" applyAlignment="1">
      <alignment horizontal="center" vertical="center"/>
    </xf>
    <xf numFmtId="165" fontId="25" fillId="3" borderId="0" xfId="0" applyNumberFormat="1" applyFont="1" applyFill="1" applyAlignment="1">
      <alignment horizontal="center" vertical="center"/>
    </xf>
    <xf numFmtId="165" fontId="25" fillId="3" borderId="15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/>
    </xf>
    <xf numFmtId="9" fontId="4" fillId="3" borderId="11" xfId="0" applyNumberFormat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9" fontId="0" fillId="3" borderId="11" xfId="0" applyNumberForma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1" fillId="3" borderId="0" xfId="0" applyFont="1" applyFill="1"/>
    <xf numFmtId="0" fontId="0" fillId="3" borderId="14" xfId="0" applyFill="1" applyBorder="1"/>
    <xf numFmtId="0" fontId="0" fillId="3" borderId="6" xfId="0" applyFill="1" applyBorder="1"/>
    <xf numFmtId="9" fontId="1" fillId="7" borderId="3" xfId="0" applyNumberFormat="1" applyFont="1" applyFill="1" applyBorder="1" applyAlignment="1">
      <alignment horizontal="center" vertical="center"/>
    </xf>
    <xf numFmtId="9" fontId="0" fillId="7" borderId="14" xfId="0" applyNumberFormat="1" applyFill="1" applyBorder="1" applyAlignment="1">
      <alignment horizontal="center" vertical="center" wrapText="1"/>
    </xf>
    <xf numFmtId="9" fontId="0" fillId="7" borderId="14" xfId="0" applyNumberForma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22" fillId="7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wrapText="1"/>
    </xf>
    <xf numFmtId="9" fontId="4" fillId="3" borderId="0" xfId="0" applyNumberFormat="1" applyFon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9" fontId="0" fillId="7" borderId="12" xfId="0" applyNumberFormat="1" applyFill="1" applyBorder="1" applyAlignment="1">
      <alignment horizontal="center" vertical="center"/>
    </xf>
    <xf numFmtId="9" fontId="0" fillId="7" borderId="12" xfId="0" applyNumberForma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4" fillId="3" borderId="15" xfId="0" applyFont="1" applyFill="1" applyBorder="1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wrapText="1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41" fontId="15" fillId="3" borderId="0" xfId="0" applyNumberFormat="1" applyFont="1" applyFill="1" applyAlignment="1">
      <alignment horizontal="center" vertical="center"/>
    </xf>
    <xf numFmtId="0" fontId="0" fillId="3" borderId="2" xfId="0" applyFill="1" applyBorder="1"/>
    <xf numFmtId="4" fontId="18" fillId="3" borderId="0" xfId="0" applyNumberFormat="1" applyFont="1" applyFill="1" applyAlignment="1">
      <alignment horizontal="center"/>
    </xf>
    <xf numFmtId="41" fontId="1" fillId="3" borderId="0" xfId="0" applyNumberFormat="1" applyFont="1" applyFill="1" applyAlignment="1">
      <alignment horizontal="center"/>
    </xf>
    <xf numFmtId="4" fontId="1" fillId="3" borderId="13" xfId="0" applyNumberFormat="1" applyFont="1" applyFill="1" applyBorder="1" applyAlignment="1">
      <alignment horizontal="center"/>
    </xf>
    <xf numFmtId="41" fontId="15" fillId="3" borderId="1" xfId="0" applyNumberFormat="1" applyFont="1" applyFill="1" applyBorder="1" applyAlignment="1">
      <alignment horizontal="center"/>
    </xf>
    <xf numFmtId="165" fontId="0" fillId="7" borderId="12" xfId="0" applyNumberFormat="1" applyFill="1" applyBorder="1" applyAlignment="1">
      <alignment horizontal="center" vertical="center" wrapText="1"/>
    </xf>
    <xf numFmtId="1" fontId="0" fillId="3" borderId="14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8" borderId="7" xfId="0" applyFont="1" applyFill="1" applyBorder="1" applyAlignment="1">
      <alignment horizontal="center" vertical="center"/>
    </xf>
    <xf numFmtId="0" fontId="39" fillId="8" borderId="0" xfId="0" applyFont="1" applyFill="1" applyAlignment="1">
      <alignment horizontal="center" vertical="center" wrapText="1"/>
    </xf>
    <xf numFmtId="0" fontId="39" fillId="8" borderId="0" xfId="0" applyFont="1" applyFill="1" applyAlignment="1">
      <alignment horizontal="center" vertical="center"/>
    </xf>
    <xf numFmtId="0" fontId="38" fillId="8" borderId="14" xfId="0" applyFont="1" applyFill="1" applyBorder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0" fillId="4" borderId="12" xfId="0" applyFill="1" applyBorder="1"/>
    <xf numFmtId="0" fontId="0" fillId="4" borderId="11" xfId="0" applyFill="1" applyBorder="1"/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/>
    <xf numFmtId="0" fontId="0" fillId="6" borderId="11" xfId="0" applyFill="1" applyBorder="1"/>
    <xf numFmtId="0" fontId="0" fillId="6" borderId="10" xfId="0" applyFill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167" fontId="8" fillId="9" borderId="2" xfId="0" applyNumberFormat="1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 vertical="center" wrapText="1"/>
    </xf>
    <xf numFmtId="2" fontId="9" fillId="9" borderId="16" xfId="0" applyNumberFormat="1" applyFont="1" applyFill="1" applyBorder="1" applyAlignment="1">
      <alignment horizontal="center"/>
    </xf>
    <xf numFmtId="3" fontId="9" fillId="9" borderId="16" xfId="0" applyNumberFormat="1" applyFont="1" applyFill="1" applyBorder="1" applyAlignment="1">
      <alignment horizontal="center"/>
    </xf>
    <xf numFmtId="3" fontId="8" fillId="9" borderId="16" xfId="0" applyNumberFormat="1" applyFont="1" applyFill="1" applyBorder="1" applyAlignment="1">
      <alignment horizontal="center"/>
    </xf>
    <xf numFmtId="3" fontId="8" fillId="9" borderId="17" xfId="0" applyNumberFormat="1" applyFont="1" applyFill="1" applyBorder="1" applyAlignment="1">
      <alignment horizontal="center"/>
    </xf>
    <xf numFmtId="9" fontId="0" fillId="9" borderId="16" xfId="0" applyNumberFormat="1" applyFill="1" applyBorder="1" applyAlignment="1">
      <alignment horizontal="center"/>
    </xf>
    <xf numFmtId="9" fontId="0" fillId="9" borderId="17" xfId="0" applyNumberFormat="1" applyFill="1" applyBorder="1" applyAlignment="1">
      <alignment horizontal="center"/>
    </xf>
    <xf numFmtId="9" fontId="18" fillId="9" borderId="0" xfId="0" applyNumberFormat="1" applyFont="1" applyFill="1" applyAlignment="1">
      <alignment horizontal="center"/>
    </xf>
    <xf numFmtId="3" fontId="18" fillId="9" borderId="0" xfId="0" applyNumberFormat="1" applyFont="1" applyFill="1" applyAlignment="1">
      <alignment horizontal="center"/>
    </xf>
    <xf numFmtId="0" fontId="26" fillId="9" borderId="9" xfId="0" applyFont="1" applyFill="1" applyBorder="1"/>
    <xf numFmtId="0" fontId="26" fillId="9" borderId="9" xfId="0" applyFont="1" applyFill="1" applyBorder="1" applyAlignment="1">
      <alignment horizontal="center" vertical="center"/>
    </xf>
    <xf numFmtId="165" fontId="26" fillId="9" borderId="1" xfId="0" applyNumberFormat="1" applyFont="1" applyFill="1" applyBorder="1" applyAlignment="1">
      <alignment horizontal="center" vertical="center"/>
    </xf>
    <xf numFmtId="165" fontId="11" fillId="9" borderId="1" xfId="0" applyNumberFormat="1" applyFont="1" applyFill="1" applyBorder="1" applyAlignment="1">
      <alignment horizontal="center" vertical="center"/>
    </xf>
    <xf numFmtId="165" fontId="11" fillId="9" borderId="7" xfId="0" applyNumberFormat="1" applyFont="1" applyFill="1" applyBorder="1" applyAlignment="1">
      <alignment horizontal="center" vertical="center"/>
    </xf>
    <xf numFmtId="0" fontId="11" fillId="9" borderId="9" xfId="0" applyFont="1" applyFill="1" applyBorder="1"/>
    <xf numFmtId="0" fontId="11" fillId="9" borderId="9" xfId="0" applyFont="1" applyFill="1" applyBorder="1" applyAlignment="1">
      <alignment horizontal="center" vertical="center"/>
    </xf>
    <xf numFmtId="166" fontId="26" fillId="9" borderId="1" xfId="0" applyNumberFormat="1" applyFont="1" applyFill="1" applyBorder="1" applyAlignment="1">
      <alignment horizontal="center" vertical="center"/>
    </xf>
    <xf numFmtId="166" fontId="11" fillId="9" borderId="1" xfId="0" applyNumberFormat="1" applyFont="1" applyFill="1" applyBorder="1" applyAlignment="1">
      <alignment horizontal="center" vertical="center"/>
    </xf>
    <xf numFmtId="166" fontId="11" fillId="9" borderId="7" xfId="0" applyNumberFormat="1" applyFont="1" applyFill="1" applyBorder="1" applyAlignment="1">
      <alignment horizontal="center" vertical="center"/>
    </xf>
    <xf numFmtId="0" fontId="1" fillId="10" borderId="1" xfId="0" applyFont="1" applyFill="1" applyBorder="1"/>
    <xf numFmtId="3" fontId="1" fillId="10" borderId="2" xfId="0" applyNumberFormat="1" applyFont="1" applyFill="1" applyBorder="1" applyAlignment="1">
      <alignment horizontal="center"/>
    </xf>
    <xf numFmtId="3" fontId="1" fillId="10" borderId="11" xfId="0" applyNumberFormat="1" applyFont="1" applyFill="1" applyBorder="1" applyAlignment="1">
      <alignment horizontal="center"/>
    </xf>
    <xf numFmtId="0" fontId="1" fillId="10" borderId="11" xfId="0" applyFont="1" applyFill="1" applyBorder="1"/>
    <xf numFmtId="0" fontId="1" fillId="10" borderId="10" xfId="0" applyFont="1" applyFill="1" applyBorder="1"/>
    <xf numFmtId="0" fontId="1" fillId="10" borderId="9" xfId="0" applyFont="1" applyFill="1" applyBorder="1"/>
    <xf numFmtId="0" fontId="1" fillId="10" borderId="2" xfId="0" applyFont="1" applyFill="1" applyBorder="1"/>
    <xf numFmtId="0" fontId="41" fillId="9" borderId="13" xfId="0" applyFont="1" applyFill="1" applyBorder="1" applyAlignment="1">
      <alignment horizontal="left"/>
    </xf>
    <xf numFmtId="3" fontId="41" fillId="9" borderId="0" xfId="0" applyNumberFormat="1" applyFont="1" applyFill="1" applyAlignment="1">
      <alignment horizontal="left"/>
    </xf>
    <xf numFmtId="165" fontId="18" fillId="9" borderId="0" xfId="0" applyNumberFormat="1" applyFont="1" applyFill="1" applyAlignment="1">
      <alignment horizontal="center"/>
    </xf>
    <xf numFmtId="0" fontId="41" fillId="9" borderId="9" xfId="0" applyFont="1" applyFill="1" applyBorder="1" applyAlignment="1">
      <alignment horizontal="left"/>
    </xf>
    <xf numFmtId="3" fontId="9" fillId="9" borderId="1" xfId="0" applyNumberFormat="1" applyFont="1" applyFill="1" applyBorder="1" applyAlignment="1">
      <alignment horizontal="center"/>
    </xf>
    <xf numFmtId="165" fontId="41" fillId="9" borderId="1" xfId="0" applyNumberFormat="1" applyFont="1" applyFill="1" applyBorder="1" applyAlignment="1">
      <alignment horizontal="center"/>
    </xf>
    <xf numFmtId="3" fontId="41" fillId="9" borderId="1" xfId="0" applyNumberFormat="1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0" fontId="42" fillId="0" borderId="0" xfId="1"/>
    <xf numFmtId="166" fontId="8" fillId="9" borderId="2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right"/>
    </xf>
    <xf numFmtId="166" fontId="8" fillId="3" borderId="2" xfId="0" applyNumberFormat="1" applyFont="1" applyFill="1" applyBorder="1" applyAlignment="1">
      <alignment horizontal="center"/>
    </xf>
    <xf numFmtId="0" fontId="1" fillId="10" borderId="11" xfId="0" applyFont="1" applyFill="1" applyBorder="1" applyAlignment="1">
      <alignment wrapText="1"/>
    </xf>
    <xf numFmtId="0" fontId="11" fillId="9" borderId="9" xfId="0" applyFont="1" applyFill="1" applyBorder="1" applyAlignment="1">
      <alignment wrapText="1"/>
    </xf>
    <xf numFmtId="0" fontId="0" fillId="0" borderId="0" xfId="0" quotePrefix="1"/>
    <xf numFmtId="0" fontId="37" fillId="10" borderId="0" xfId="0" applyFont="1" applyFill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37" fillId="8" borderId="8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37" fillId="8" borderId="8" xfId="0" applyFont="1" applyFill="1" applyBorder="1" applyAlignment="1">
      <alignment horizontal="center" vertical="center"/>
    </xf>
    <xf numFmtId="0" fontId="37" fillId="8" borderId="9" xfId="0" applyFont="1" applyFill="1" applyBorder="1" applyAlignment="1">
      <alignment horizontal="center" vertical="center"/>
    </xf>
    <xf numFmtId="0" fontId="37" fillId="8" borderId="3" xfId="0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22" fillId="9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16" fillId="9" borderId="0" xfId="0" applyFont="1" applyFill="1" applyAlignment="1">
      <alignment horizontal="left" wrapText="1"/>
    </xf>
    <xf numFmtId="0" fontId="16" fillId="9" borderId="0" xfId="0" applyFont="1" applyFill="1" applyAlignment="1">
      <alignment horizontal="left"/>
    </xf>
    <xf numFmtId="0" fontId="31" fillId="3" borderId="0" xfId="0" applyFont="1" applyFill="1" applyAlignment="1">
      <alignment horizontal="left" wrapText="1"/>
    </xf>
    <xf numFmtId="0" fontId="27" fillId="8" borderId="8" xfId="0" applyFont="1" applyFill="1" applyBorder="1" applyAlignment="1">
      <alignment horizontal="center"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11" xfId="0" applyFont="1" applyFill="1" applyBorder="1" applyAlignment="1">
      <alignment horizontal="center" vertical="center"/>
    </xf>
    <xf numFmtId="0" fontId="27" fillId="8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40" fillId="10" borderId="12" xfId="0" applyFont="1" applyFill="1" applyBorder="1" applyAlignment="1">
      <alignment horizontal="center"/>
    </xf>
    <xf numFmtId="0" fontId="40" fillId="10" borderId="11" xfId="0" applyFont="1" applyFill="1" applyBorder="1" applyAlignment="1">
      <alignment horizontal="center"/>
    </xf>
    <xf numFmtId="0" fontId="40" fillId="10" borderId="10" xfId="0" applyFont="1" applyFill="1" applyBorder="1" applyAlignment="1">
      <alignment horizontal="center"/>
    </xf>
    <xf numFmtId="0" fontId="19" fillId="3" borderId="0" xfId="0" applyFont="1" applyFill="1" applyAlignment="1">
      <alignment horizontal="center"/>
    </xf>
    <xf numFmtId="0" fontId="28" fillId="8" borderId="8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37" fillId="8" borderId="3" xfId="0" applyFont="1" applyFill="1" applyBorder="1" applyAlignment="1">
      <alignment horizontal="center" vertical="center" wrapText="1"/>
    </xf>
    <xf numFmtId="0" fontId="37" fillId="8" borderId="6" xfId="0" applyFont="1" applyFill="1" applyBorder="1" applyAlignment="1">
      <alignment horizontal="center" vertical="center" wrapText="1"/>
    </xf>
    <xf numFmtId="0" fontId="37" fillId="8" borderId="8" xfId="0" applyFont="1" applyFill="1" applyBorder="1" applyAlignment="1">
      <alignment horizontal="center" vertical="center" wrapText="1"/>
    </xf>
    <xf numFmtId="0" fontId="37" fillId="8" borderId="9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37" fillId="8" borderId="12" xfId="0" applyFont="1" applyFill="1" applyBorder="1" applyAlignment="1">
      <alignment horizontal="center" vertical="center" wrapText="1"/>
    </xf>
    <xf numFmtId="0" fontId="37" fillId="8" borderId="10" xfId="0" applyFont="1" applyFill="1" applyBorder="1" applyAlignment="1">
      <alignment horizontal="center" vertical="center"/>
    </xf>
    <xf numFmtId="0" fontId="37" fillId="8" borderId="14" xfId="0" applyFont="1" applyFill="1" applyBorder="1" applyAlignment="1">
      <alignment horizontal="center" vertical="center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/>
    </xf>
    <xf numFmtId="0" fontId="39" fillId="8" borderId="8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5693CA"/>
      <color rgb="FFDAE3F3"/>
      <color rgb="FF81C3B7"/>
      <color rgb="FF042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ofitsialnaya-statistika/realny-sector-ekonomiki/stoimost-rabochey-sily/operativnye-dannye/o-nachislennoy-sredney-zarabotnoy-plate-rabotnikov/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5D5D4-6DCF-44BE-86F3-04F88FF6B23F}">
  <sheetPr>
    <tabColor rgb="FF0070C0"/>
  </sheetPr>
  <dimension ref="B2:C30"/>
  <sheetViews>
    <sheetView tabSelected="1" workbookViewId="0"/>
  </sheetViews>
  <sheetFormatPr defaultRowHeight="15" x14ac:dyDescent="0.25"/>
  <sheetData>
    <row r="2" spans="2:3" x14ac:dyDescent="0.25">
      <c r="B2" t="s">
        <v>225</v>
      </c>
    </row>
    <row r="4" spans="2:3" x14ac:dyDescent="0.25">
      <c r="B4" s="231" t="s">
        <v>24</v>
      </c>
      <c r="C4" s="64" t="s">
        <v>227</v>
      </c>
    </row>
    <row r="5" spans="2:3" x14ac:dyDescent="0.25">
      <c r="B5" s="230"/>
      <c r="C5" s="228" t="s">
        <v>230</v>
      </c>
    </row>
    <row r="6" spans="2:3" x14ac:dyDescent="0.25">
      <c r="C6" s="228" t="s">
        <v>226</v>
      </c>
    </row>
    <row r="7" spans="2:3" x14ac:dyDescent="0.25">
      <c r="C7" s="228" t="s">
        <v>229</v>
      </c>
    </row>
    <row r="8" spans="2:3" x14ac:dyDescent="0.25">
      <c r="C8" s="228" t="s">
        <v>228</v>
      </c>
    </row>
    <row r="9" spans="2:3" x14ac:dyDescent="0.25">
      <c r="C9" s="228"/>
    </row>
    <row r="11" spans="2:3" s="229" customFormat="1" x14ac:dyDescent="0.25">
      <c r="B11" s="229" t="s">
        <v>14</v>
      </c>
    </row>
    <row r="13" spans="2:3" x14ac:dyDescent="0.25">
      <c r="B13" s="64" t="s">
        <v>208</v>
      </c>
    </row>
    <row r="14" spans="2:3" x14ac:dyDescent="0.25">
      <c r="B14" s="228" t="s">
        <v>209</v>
      </c>
    </row>
    <row r="15" spans="2:3" x14ac:dyDescent="0.25">
      <c r="B15" s="228" t="s">
        <v>223</v>
      </c>
    </row>
    <row r="16" spans="2:3" x14ac:dyDescent="0.25">
      <c r="B16" s="228" t="s">
        <v>224</v>
      </c>
    </row>
    <row r="18" spans="2:2" x14ac:dyDescent="0.25">
      <c r="B18" s="64" t="s">
        <v>210</v>
      </c>
    </row>
    <row r="19" spans="2:2" x14ac:dyDescent="0.25">
      <c r="B19" t="s">
        <v>211</v>
      </c>
    </row>
    <row r="20" spans="2:2" x14ac:dyDescent="0.25">
      <c r="B20" t="s">
        <v>212</v>
      </c>
    </row>
    <row r="21" spans="2:2" x14ac:dyDescent="0.25">
      <c r="B21" t="s">
        <v>213</v>
      </c>
    </row>
    <row r="22" spans="2:2" x14ac:dyDescent="0.25">
      <c r="B22" t="s">
        <v>214</v>
      </c>
    </row>
    <row r="23" spans="2:2" x14ac:dyDescent="0.25">
      <c r="B23" t="s">
        <v>215</v>
      </c>
    </row>
    <row r="24" spans="2:2" x14ac:dyDescent="0.25">
      <c r="B24" t="s">
        <v>216</v>
      </c>
    </row>
    <row r="25" spans="2:2" x14ac:dyDescent="0.25">
      <c r="B25" t="s">
        <v>217</v>
      </c>
    </row>
    <row r="26" spans="2:2" x14ac:dyDescent="0.25">
      <c r="B26" t="s">
        <v>218</v>
      </c>
    </row>
    <row r="27" spans="2:2" x14ac:dyDescent="0.25">
      <c r="B27" t="s">
        <v>219</v>
      </c>
    </row>
    <row r="28" spans="2:2" x14ac:dyDescent="0.25">
      <c r="B28" t="s">
        <v>220</v>
      </c>
    </row>
    <row r="29" spans="2:2" x14ac:dyDescent="0.25">
      <c r="B29" t="s">
        <v>221</v>
      </c>
    </row>
    <row r="30" spans="2:2" x14ac:dyDescent="0.25">
      <c r="B30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O70"/>
  <sheetViews>
    <sheetView zoomScaleNormal="100" zoomScaleSheetLayoutView="100" workbookViewId="0">
      <pane ySplit="8" topLeftCell="A21" activePane="bottomLeft" state="frozen"/>
      <selection pane="bottomLeft" activeCell="F32" sqref="F32"/>
    </sheetView>
  </sheetViews>
  <sheetFormatPr defaultColWidth="8.85546875" defaultRowHeight="15" x14ac:dyDescent="0.25"/>
  <cols>
    <col min="1" max="2" width="8.85546875" style="1"/>
    <col min="3" max="3" width="49.85546875" style="1" bestFit="1" customWidth="1"/>
    <col min="4" max="4" width="8.7109375" style="1" bestFit="1" customWidth="1"/>
    <col min="5" max="5" width="16.85546875" style="1" customWidth="1"/>
    <col min="6" max="6" width="8.85546875" style="1"/>
    <col min="7" max="8" width="12.7109375" style="1" customWidth="1"/>
    <col min="9" max="10" width="8.85546875" style="1"/>
    <col min="11" max="11" width="19.5703125" style="1" bestFit="1" customWidth="1"/>
    <col min="12" max="12" width="8.85546875" style="1"/>
    <col min="13" max="13" width="21.140625" style="1" bestFit="1" customWidth="1"/>
    <col min="14" max="14" width="9.85546875" style="1" bestFit="1" customWidth="1"/>
    <col min="15" max="16384" width="8.85546875" style="1"/>
  </cols>
  <sheetData>
    <row r="1" spans="2:15" x14ac:dyDescent="0.25">
      <c r="J1" s="11" t="s">
        <v>192</v>
      </c>
      <c r="M1" s="11" t="s">
        <v>197</v>
      </c>
    </row>
    <row r="2" spans="2:15" x14ac:dyDescent="0.25">
      <c r="J2" s="143" t="s">
        <v>193</v>
      </c>
      <c r="K2" s="181">
        <v>3.0122</v>
      </c>
      <c r="M2" s="143" t="s">
        <v>202</v>
      </c>
      <c r="N2" s="223">
        <v>2762.7</v>
      </c>
      <c r="O2" s="222" t="s">
        <v>198</v>
      </c>
    </row>
    <row r="3" spans="2:15" ht="23.25" x14ac:dyDescent="0.35">
      <c r="B3" s="251" t="s">
        <v>117</v>
      </c>
      <c r="C3" s="251"/>
      <c r="D3" s="251"/>
      <c r="E3" s="251"/>
      <c r="F3" s="251"/>
      <c r="G3" s="251"/>
      <c r="J3" s="143" t="s">
        <v>194</v>
      </c>
      <c r="K3" s="181">
        <v>3.4975000000000001</v>
      </c>
      <c r="M3" s="143" t="s">
        <v>102</v>
      </c>
      <c r="N3" s="225">
        <f>N2/K2</f>
        <v>917.17017462319893</v>
      </c>
    </row>
    <row r="4" spans="2:15" ht="18.75" x14ac:dyDescent="0.3">
      <c r="B4" s="13"/>
      <c r="C4" s="13"/>
      <c r="D4" s="13"/>
      <c r="E4" s="13"/>
      <c r="F4" s="13"/>
      <c r="G4" s="13"/>
    </row>
    <row r="5" spans="2:15" ht="25.9" customHeight="1" x14ac:dyDescent="0.3">
      <c r="B5" s="13"/>
      <c r="C5" s="62" t="s">
        <v>69</v>
      </c>
      <c r="D5" s="252" t="s">
        <v>196</v>
      </c>
      <c r="E5" s="253"/>
      <c r="F5" s="253"/>
      <c r="G5" s="253"/>
    </row>
    <row r="6" spans="2:15" ht="4.9000000000000004" customHeight="1" x14ac:dyDescent="0.3">
      <c r="B6" s="13"/>
      <c r="C6" s="13"/>
      <c r="D6" s="61"/>
      <c r="E6" s="2"/>
      <c r="F6" s="2"/>
      <c r="G6" s="2"/>
    </row>
    <row r="7" spans="2:15" ht="4.9000000000000004" customHeight="1" x14ac:dyDescent="0.25"/>
    <row r="8" spans="2:15" x14ac:dyDescent="0.25">
      <c r="B8" s="158" t="s">
        <v>21</v>
      </c>
      <c r="C8" s="158" t="s">
        <v>22</v>
      </c>
      <c r="D8" s="158" t="s">
        <v>23</v>
      </c>
      <c r="E8" s="159" t="s">
        <v>49</v>
      </c>
      <c r="F8" s="250" t="s">
        <v>111</v>
      </c>
      <c r="G8" s="250"/>
    </row>
    <row r="9" spans="2:15" ht="7.15" customHeight="1" thickBot="1" x14ac:dyDescent="0.3">
      <c r="B9" s="53"/>
      <c r="C9" s="53"/>
      <c r="D9" s="53"/>
      <c r="E9" s="54"/>
      <c r="F9" s="52"/>
      <c r="G9" s="52"/>
    </row>
    <row r="10" spans="2:15" ht="15.75" thickBot="1" x14ac:dyDescent="0.3">
      <c r="B10" s="55" t="s">
        <v>24</v>
      </c>
      <c r="C10" s="56" t="s">
        <v>113</v>
      </c>
      <c r="D10" s="55" t="s">
        <v>107</v>
      </c>
      <c r="E10" s="182">
        <v>2</v>
      </c>
      <c r="F10" s="52"/>
      <c r="G10" s="52"/>
    </row>
    <row r="11" spans="2:15" ht="5.45" customHeight="1" thickBot="1" x14ac:dyDescent="0.3">
      <c r="B11" s="5"/>
      <c r="C11" s="6"/>
      <c r="D11" s="6"/>
      <c r="E11" s="6"/>
    </row>
    <row r="12" spans="2:15" ht="15.75" thickBot="1" x14ac:dyDescent="0.3">
      <c r="B12" s="35" t="s">
        <v>114</v>
      </c>
      <c r="C12" s="36" t="s">
        <v>25</v>
      </c>
      <c r="D12" s="35" t="s">
        <v>26</v>
      </c>
      <c r="E12" s="183">
        <v>1.5</v>
      </c>
    </row>
    <row r="13" spans="2:15" ht="6" customHeight="1" thickBot="1" x14ac:dyDescent="0.3">
      <c r="B13" s="5"/>
      <c r="C13" s="6"/>
      <c r="D13" s="5"/>
      <c r="E13" s="5"/>
    </row>
    <row r="14" spans="2:15" ht="15.75" thickBot="1" x14ac:dyDescent="0.3">
      <c r="B14" s="35" t="s">
        <v>33</v>
      </c>
      <c r="C14" s="36" t="s">
        <v>27</v>
      </c>
      <c r="D14" s="35" t="s">
        <v>28</v>
      </c>
      <c r="E14" s="184">
        <f>E12*10000/3</f>
        <v>5000</v>
      </c>
    </row>
    <row r="15" spans="2:15" ht="15.75" thickBot="1" x14ac:dyDescent="0.3">
      <c r="B15" s="5"/>
      <c r="C15" s="6" t="s">
        <v>29</v>
      </c>
      <c r="D15" s="5"/>
      <c r="E15" s="8"/>
    </row>
    <row r="16" spans="2:15" ht="15.75" thickBot="1" x14ac:dyDescent="0.3">
      <c r="B16" s="5"/>
      <c r="C16" s="6" t="s">
        <v>30</v>
      </c>
      <c r="D16" s="5" t="str">
        <f>D14</f>
        <v>м2</v>
      </c>
      <c r="E16" s="185">
        <v>3500</v>
      </c>
    </row>
    <row r="17" spans="2:6" ht="15.75" thickBot="1" x14ac:dyDescent="0.3">
      <c r="B17" s="5"/>
      <c r="C17" s="6" t="s">
        <v>31</v>
      </c>
      <c r="D17" s="5" t="str">
        <f>D16</f>
        <v>м2</v>
      </c>
      <c r="E17" s="186">
        <v>500</v>
      </c>
    </row>
    <row r="18" spans="2:6" x14ac:dyDescent="0.25">
      <c r="B18" s="5"/>
      <c r="C18" s="6" t="s">
        <v>32</v>
      </c>
      <c r="D18" s="5" t="str">
        <f>D17</f>
        <v>м2</v>
      </c>
      <c r="E18" s="8">
        <f>E14-E16-E17</f>
        <v>1000</v>
      </c>
    </row>
    <row r="19" spans="2:6" ht="7.15" customHeight="1" x14ac:dyDescent="0.25">
      <c r="B19" s="5"/>
      <c r="C19" s="6"/>
      <c r="D19" s="6"/>
      <c r="E19" s="7"/>
    </row>
    <row r="20" spans="2:6" x14ac:dyDescent="0.25">
      <c r="B20" s="35" t="s">
        <v>38</v>
      </c>
      <c r="C20" s="36" t="s">
        <v>200</v>
      </c>
      <c r="D20" s="35" t="s">
        <v>34</v>
      </c>
      <c r="E20" s="37">
        <f>SUM(E22:E23)</f>
        <v>6500</v>
      </c>
    </row>
    <row r="21" spans="2:6" x14ac:dyDescent="0.25">
      <c r="B21" s="5"/>
      <c r="C21" s="6" t="s">
        <v>35</v>
      </c>
      <c r="D21" s="5"/>
      <c r="E21" s="8"/>
    </row>
    <row r="22" spans="2:6" ht="15.75" thickBot="1" x14ac:dyDescent="0.3">
      <c r="B22" s="5"/>
      <c r="C22" s="6" t="s">
        <v>36</v>
      </c>
      <c r="D22" s="5" t="str">
        <f>D20</f>
        <v>тыс. USD</v>
      </c>
      <c r="E22" s="8">
        <f>E14*650/1000</f>
        <v>3250</v>
      </c>
    </row>
    <row r="23" spans="2:6" ht="15.75" thickBot="1" x14ac:dyDescent="0.3">
      <c r="B23" s="5"/>
      <c r="C23" s="6" t="s">
        <v>37</v>
      </c>
      <c r="D23" s="5" t="str">
        <f>D22</f>
        <v>тыс. USD</v>
      </c>
      <c r="E23" s="185">
        <v>3250</v>
      </c>
    </row>
    <row r="24" spans="2:6" ht="13.9" customHeight="1" thickBot="1" x14ac:dyDescent="0.3">
      <c r="B24" s="5"/>
      <c r="C24" s="224" t="s">
        <v>201</v>
      </c>
      <c r="D24" s="5" t="str">
        <f>D22</f>
        <v>тыс. USD</v>
      </c>
      <c r="E24" s="185">
        <f>E23</f>
        <v>3250</v>
      </c>
    </row>
    <row r="25" spans="2:6" ht="7.15" customHeight="1" x14ac:dyDescent="0.25">
      <c r="B25" s="5"/>
      <c r="C25" s="6"/>
      <c r="D25" s="6"/>
      <c r="E25" s="7"/>
    </row>
    <row r="26" spans="2:6" x14ac:dyDescent="0.25">
      <c r="B26" s="35" t="s">
        <v>39</v>
      </c>
      <c r="C26" s="36" t="s">
        <v>116</v>
      </c>
      <c r="D26" s="35" t="s">
        <v>34</v>
      </c>
      <c r="E26" s="37">
        <f>E28+E29</f>
        <v>5000</v>
      </c>
    </row>
    <row r="27" spans="2:6" ht="15.75" thickBot="1" x14ac:dyDescent="0.3">
      <c r="B27" s="9"/>
      <c r="C27" s="6" t="s">
        <v>29</v>
      </c>
      <c r="D27" s="5"/>
      <c r="E27" s="8"/>
    </row>
    <row r="28" spans="2:6" ht="15.75" thickBot="1" x14ac:dyDescent="0.3">
      <c r="B28" s="9"/>
      <c r="C28" s="6" t="s">
        <v>40</v>
      </c>
      <c r="D28" s="5" t="str">
        <f>D26</f>
        <v>тыс. USD</v>
      </c>
      <c r="E28" s="185">
        <v>2000</v>
      </c>
    </row>
    <row r="29" spans="2:6" ht="15.75" thickBot="1" x14ac:dyDescent="0.3">
      <c r="B29" s="9"/>
      <c r="C29" s="6" t="s">
        <v>41</v>
      </c>
      <c r="D29" s="5" t="str">
        <f>D28</f>
        <v>тыс. USD</v>
      </c>
      <c r="E29" s="186">
        <v>3000</v>
      </c>
    </row>
    <row r="30" spans="2:6" ht="15.75" thickBot="1" x14ac:dyDescent="0.3">
      <c r="B30" s="9"/>
      <c r="C30" s="224" t="s">
        <v>199</v>
      </c>
      <c r="D30" s="5" t="str">
        <f>D29</f>
        <v>тыс. USD</v>
      </c>
      <c r="E30" s="186">
        <v>1000</v>
      </c>
    </row>
    <row r="31" spans="2:6" ht="6" customHeight="1" thickBot="1" x14ac:dyDescent="0.3">
      <c r="B31" s="9"/>
      <c r="C31" s="6"/>
      <c r="D31" s="5"/>
      <c r="E31" s="8"/>
    </row>
    <row r="32" spans="2:6" ht="15.75" thickBot="1" x14ac:dyDescent="0.3">
      <c r="B32" s="9"/>
      <c r="C32" s="6" t="s">
        <v>203</v>
      </c>
      <c r="D32" s="5" t="str">
        <f>D29</f>
        <v>тыс. USD</v>
      </c>
      <c r="E32" s="185">
        <v>1000</v>
      </c>
      <c r="F32" s="15" t="s">
        <v>207</v>
      </c>
    </row>
    <row r="33" spans="2:7" ht="15.75" thickBot="1" x14ac:dyDescent="0.3">
      <c r="B33" s="9"/>
      <c r="C33" s="224" t="s">
        <v>206</v>
      </c>
      <c r="D33" s="5" t="str">
        <f>D32</f>
        <v>тыс. USD</v>
      </c>
      <c r="E33" s="186">
        <v>500</v>
      </c>
    </row>
    <row r="34" spans="2:7" ht="9" customHeight="1" x14ac:dyDescent="0.25">
      <c r="B34" s="9"/>
      <c r="C34" s="38"/>
      <c r="D34" s="9"/>
      <c r="E34" s="39"/>
    </row>
    <row r="35" spans="2:7" x14ac:dyDescent="0.25">
      <c r="B35" s="33" t="s">
        <v>42</v>
      </c>
      <c r="C35" s="34" t="s">
        <v>103</v>
      </c>
      <c r="D35" s="33" t="str">
        <f>D26</f>
        <v>тыс. USD</v>
      </c>
      <c r="E35" s="41">
        <f>E37+E38+E41+E42+E46</f>
        <v>3565.0153243476529</v>
      </c>
    </row>
    <row r="36" spans="2:7" ht="15.75" thickBot="1" x14ac:dyDescent="0.3">
      <c r="B36" s="9"/>
      <c r="C36" s="6" t="s">
        <v>115</v>
      </c>
      <c r="D36" s="5"/>
      <c r="E36" s="8"/>
    </row>
    <row r="37" spans="2:7" ht="15.75" thickBot="1" x14ac:dyDescent="0.3">
      <c r="B37" s="31" t="s">
        <v>160</v>
      </c>
      <c r="C37" s="32" t="s">
        <v>85</v>
      </c>
      <c r="D37" s="31" t="s">
        <v>34</v>
      </c>
      <c r="E37" s="51">
        <f>E26*F37</f>
        <v>2000</v>
      </c>
      <c r="F37" s="187">
        <v>0.4</v>
      </c>
      <c r="G37" s="1" t="s">
        <v>92</v>
      </c>
    </row>
    <row r="38" spans="2:7" ht="15.75" thickBot="1" x14ac:dyDescent="0.3">
      <c r="B38" s="31" t="s">
        <v>161</v>
      </c>
      <c r="C38" s="32" t="s">
        <v>86</v>
      </c>
      <c r="D38" s="31" t="s">
        <v>34</v>
      </c>
      <c r="E38" s="60">
        <f>E39*E40*12/1000</f>
        <v>420</v>
      </c>
    </row>
    <row r="39" spans="2:7" s="15" customFormat="1" ht="15.75" thickBot="1" x14ac:dyDescent="0.3">
      <c r="B39" s="42"/>
      <c r="C39" s="43" t="s">
        <v>99</v>
      </c>
      <c r="D39" s="44" t="s">
        <v>101</v>
      </c>
      <c r="E39" s="185">
        <v>50</v>
      </c>
    </row>
    <row r="40" spans="2:7" s="15" customFormat="1" ht="15.75" thickBot="1" x14ac:dyDescent="0.3">
      <c r="B40" s="42"/>
      <c r="C40" s="43" t="s">
        <v>100</v>
      </c>
      <c r="D40" s="44" t="s">
        <v>102</v>
      </c>
      <c r="E40" s="186">
        <v>700</v>
      </c>
    </row>
    <row r="41" spans="2:7" s="11" customFormat="1" x14ac:dyDescent="0.25">
      <c r="B41" s="31" t="s">
        <v>162</v>
      </c>
      <c r="C41" s="32" t="s">
        <v>87</v>
      </c>
      <c r="D41" s="31" t="str">
        <f>D38</f>
        <v>тыс. USD</v>
      </c>
      <c r="E41" s="51">
        <f>E38*Налогообложение!$E$18</f>
        <v>142.80000000000001</v>
      </c>
    </row>
    <row r="42" spans="2:7" s="11" customFormat="1" x14ac:dyDescent="0.25">
      <c r="B42" s="31" t="s">
        <v>163</v>
      </c>
      <c r="C42" s="32" t="s">
        <v>88</v>
      </c>
      <c r="D42" s="31" t="str">
        <f>D41</f>
        <v>тыс. USD</v>
      </c>
      <c r="E42" s="51">
        <f>E44+E45</f>
        <v>357.5</v>
      </c>
    </row>
    <row r="43" spans="2:7" s="15" customFormat="1" x14ac:dyDescent="0.25">
      <c r="B43" s="42"/>
      <c r="C43" s="43" t="s">
        <v>93</v>
      </c>
      <c r="D43" s="44"/>
      <c r="E43" s="45"/>
    </row>
    <row r="44" spans="2:7" s="15" customFormat="1" x14ac:dyDescent="0.25">
      <c r="B44" s="42"/>
      <c r="C44" s="43" t="s">
        <v>89</v>
      </c>
      <c r="D44" s="44" t="str">
        <f>D42</f>
        <v>тыс. USD</v>
      </c>
      <c r="E44" s="45">
        <f>E22*1%</f>
        <v>32.5</v>
      </c>
    </row>
    <row r="45" spans="2:7" s="15" customFormat="1" x14ac:dyDescent="0.25">
      <c r="B45" s="42"/>
      <c r="C45" s="43" t="s">
        <v>90</v>
      </c>
      <c r="D45" s="44" t="str">
        <f>D44</f>
        <v>тыс. USD</v>
      </c>
      <c r="E45" s="45">
        <f>E24*10%</f>
        <v>325</v>
      </c>
    </row>
    <row r="46" spans="2:7" s="11" customFormat="1" x14ac:dyDescent="0.25">
      <c r="B46" s="31" t="s">
        <v>164</v>
      </c>
      <c r="C46" s="32" t="s">
        <v>91</v>
      </c>
      <c r="D46" s="31" t="str">
        <f>D45</f>
        <v>тыс. USD</v>
      </c>
      <c r="E46" s="51">
        <f>E48+E49+E50+E51</f>
        <v>644.71532434765288</v>
      </c>
    </row>
    <row r="47" spans="2:7" s="15" customFormat="1" x14ac:dyDescent="0.25">
      <c r="B47" s="42"/>
      <c r="C47" s="43" t="s">
        <v>93</v>
      </c>
      <c r="D47" s="44"/>
      <c r="E47" s="45"/>
    </row>
    <row r="48" spans="2:7" s="15" customFormat="1" x14ac:dyDescent="0.25">
      <c r="B48" s="42"/>
      <c r="C48" s="43" t="s">
        <v>94</v>
      </c>
      <c r="D48" s="44" t="str">
        <f>D45</f>
        <v>тыс. USD</v>
      </c>
      <c r="E48" s="144">
        <f>E12*10000*223/K2*Налогообложение!$E$16/1000</f>
        <v>12.215324347652876</v>
      </c>
    </row>
    <row r="49" spans="2:8" s="15" customFormat="1" ht="15.75" thickBot="1" x14ac:dyDescent="0.3">
      <c r="B49" s="42"/>
      <c r="C49" s="43" t="s">
        <v>95</v>
      </c>
      <c r="D49" s="44" t="str">
        <f>D48</f>
        <v>тыс. USD</v>
      </c>
      <c r="E49" s="45">
        <f>E22*Налогообложение!$E$15</f>
        <v>32.5</v>
      </c>
    </row>
    <row r="50" spans="2:8" s="15" customFormat="1" ht="15.75" thickBot="1" x14ac:dyDescent="0.3">
      <c r="B50" s="42"/>
      <c r="C50" s="43" t="s">
        <v>97</v>
      </c>
      <c r="D50" s="44" t="str">
        <f>D49</f>
        <v>тыс. USD</v>
      </c>
      <c r="E50" s="45">
        <f>E37*F50*10%</f>
        <v>100</v>
      </c>
      <c r="F50" s="187">
        <v>0.5</v>
      </c>
      <c r="G50" s="1" t="s">
        <v>98</v>
      </c>
      <c r="H50" s="1"/>
    </row>
    <row r="51" spans="2:8" s="15" customFormat="1" ht="15.75" thickBot="1" x14ac:dyDescent="0.3">
      <c r="B51" s="46"/>
      <c r="C51" s="47" t="s">
        <v>96</v>
      </c>
      <c r="D51" s="48" t="str">
        <f>D50</f>
        <v>тыс. USD</v>
      </c>
      <c r="E51" s="49">
        <f>F51*E26</f>
        <v>500</v>
      </c>
      <c r="F51" s="188">
        <v>0.1</v>
      </c>
      <c r="G51" s="1" t="s">
        <v>92</v>
      </c>
      <c r="H51" s="1"/>
    </row>
    <row r="52" spans="2:8" x14ac:dyDescent="0.25">
      <c r="B52" s="9"/>
      <c r="C52" s="6"/>
      <c r="D52" s="5"/>
      <c r="E52" s="8"/>
    </row>
    <row r="53" spans="2:8" x14ac:dyDescent="0.25">
      <c r="B53" s="33" t="s">
        <v>43</v>
      </c>
      <c r="C53" s="34" t="s">
        <v>104</v>
      </c>
      <c r="D53" s="33" t="str">
        <f>D38</f>
        <v>тыс. USD</v>
      </c>
      <c r="E53" s="50">
        <f>E26-E35</f>
        <v>1434.9846756523471</v>
      </c>
    </row>
    <row r="54" spans="2:8" x14ac:dyDescent="0.25">
      <c r="B54" s="9"/>
      <c r="C54" s="6"/>
      <c r="D54" s="5"/>
      <c r="E54" s="8"/>
    </row>
    <row r="55" spans="2:8" s="11" customFormat="1" x14ac:dyDescent="0.25">
      <c r="B55" s="33" t="s">
        <v>165</v>
      </c>
      <c r="C55" s="34" t="s">
        <v>105</v>
      </c>
      <c r="D55" s="33" t="str">
        <f>D53</f>
        <v>тыс. USD</v>
      </c>
      <c r="E55" s="50">
        <f>E26*E58*E56</f>
        <v>245.00000000000003</v>
      </c>
    </row>
    <row r="56" spans="2:8" s="15" customFormat="1" x14ac:dyDescent="0.25">
      <c r="B56" s="42"/>
      <c r="C56" s="43" t="s">
        <v>108</v>
      </c>
      <c r="D56" s="44" t="s">
        <v>45</v>
      </c>
      <c r="E56" s="189">
        <v>7.0000000000000007E-2</v>
      </c>
    </row>
    <row r="57" spans="2:8" s="15" customFormat="1" x14ac:dyDescent="0.25">
      <c r="B57" s="42"/>
      <c r="C57" s="43" t="s">
        <v>106</v>
      </c>
      <c r="D57" s="44" t="s">
        <v>107</v>
      </c>
      <c r="E57" s="190">
        <v>7</v>
      </c>
    </row>
    <row r="58" spans="2:8" s="15" customFormat="1" x14ac:dyDescent="0.25">
      <c r="B58" s="42"/>
      <c r="C58" s="43" t="s">
        <v>109</v>
      </c>
      <c r="D58" s="44" t="s">
        <v>45</v>
      </c>
      <c r="E58" s="189">
        <v>0.7</v>
      </c>
    </row>
    <row r="59" spans="2:8" x14ac:dyDescent="0.25">
      <c r="B59" s="9"/>
      <c r="C59" s="6"/>
      <c r="D59" s="5"/>
      <c r="E59" s="30"/>
    </row>
    <row r="60" spans="2:8" x14ac:dyDescent="0.25">
      <c r="B60" s="33" t="s">
        <v>166</v>
      </c>
      <c r="C60" s="34" t="s">
        <v>110</v>
      </c>
      <c r="D60" s="33" t="str">
        <f>D55</f>
        <v>тыс. USD</v>
      </c>
      <c r="E60" s="50">
        <f>E53-E55</f>
        <v>1189.9846756523471</v>
      </c>
    </row>
    <row r="61" spans="2:8" x14ac:dyDescent="0.25">
      <c r="B61" s="9"/>
      <c r="C61" s="6"/>
      <c r="D61" s="5"/>
      <c r="E61" s="30"/>
    </row>
    <row r="62" spans="2:8" x14ac:dyDescent="0.25">
      <c r="B62" s="9" t="s">
        <v>167</v>
      </c>
      <c r="C62" s="6" t="s">
        <v>74</v>
      </c>
      <c r="D62" s="5" t="str">
        <f>D60</f>
        <v>тыс. USD</v>
      </c>
      <c r="E62" s="8">
        <f>E60*Налогообложение!$E$14</f>
        <v>237.99693513046941</v>
      </c>
    </row>
    <row r="63" spans="2:8" x14ac:dyDescent="0.25">
      <c r="B63" s="9"/>
      <c r="C63" s="6"/>
      <c r="D63" s="5"/>
      <c r="E63" s="30"/>
    </row>
    <row r="64" spans="2:8" x14ac:dyDescent="0.25">
      <c r="B64" s="33" t="s">
        <v>168</v>
      </c>
      <c r="C64" s="34" t="s">
        <v>112</v>
      </c>
      <c r="D64" s="33" t="str">
        <f>D62</f>
        <v>тыс. USD</v>
      </c>
      <c r="E64" s="41">
        <f>E60-E62</f>
        <v>951.98774052187764</v>
      </c>
    </row>
    <row r="65" spans="2:6" x14ac:dyDescent="0.25">
      <c r="B65" s="9"/>
      <c r="C65" s="38"/>
      <c r="D65" s="9"/>
      <c r="E65" s="40"/>
    </row>
    <row r="66" spans="2:6" x14ac:dyDescent="0.25">
      <c r="B66" s="33" t="s">
        <v>119</v>
      </c>
      <c r="C66" s="34" t="s">
        <v>118</v>
      </c>
      <c r="D66" s="33" t="str">
        <f>D64</f>
        <v>тыс. USD</v>
      </c>
      <c r="E66" s="41">
        <f>E64+E42</f>
        <v>1309.4877405218776</v>
      </c>
    </row>
    <row r="67" spans="2:6" ht="12" customHeight="1" x14ac:dyDescent="0.25">
      <c r="B67" s="9"/>
      <c r="C67" s="6"/>
      <c r="D67" s="5"/>
      <c r="E67" s="8"/>
    </row>
    <row r="68" spans="2:6" x14ac:dyDescent="0.25">
      <c r="B68" s="57" t="s">
        <v>169</v>
      </c>
      <c r="C68" s="58" t="s">
        <v>44</v>
      </c>
      <c r="D68" s="57" t="s">
        <v>45</v>
      </c>
      <c r="E68" s="59">
        <f>E64/E26</f>
        <v>0.19039754810437554</v>
      </c>
    </row>
    <row r="69" spans="2:6" ht="4.9000000000000004" customHeight="1" x14ac:dyDescent="0.25"/>
    <row r="70" spans="2:6" ht="30" customHeight="1" x14ac:dyDescent="0.25">
      <c r="B70" s="254" t="s">
        <v>159</v>
      </c>
      <c r="C70" s="254"/>
      <c r="D70" s="254"/>
      <c r="E70" s="254"/>
      <c r="F70" s="254"/>
    </row>
  </sheetData>
  <mergeCells count="4">
    <mergeCell ref="F8:G8"/>
    <mergeCell ref="B3:G3"/>
    <mergeCell ref="D5:G5"/>
    <mergeCell ref="B70:F70"/>
  </mergeCells>
  <hyperlinks>
    <hyperlink ref="O2" r:id="rId1" display="https://www.belstat.gov.by/ofitsialnaya-statistika/realny-sector-ekonomiki/stoimost-rabochey-sily/operativnye-dannye/o-nachislennoy-sredney-zarabotnoy-plate-rabotnikov/" xr:uid="{B10C3C4B-E797-4FC3-A869-D7B854A1D9B7}"/>
  </hyperlinks>
  <pageMargins left="0.7" right="0.7" top="0.75" bottom="0.75" header="0.3" footer="0.3"/>
  <pageSetup paperSize="9" scale="46" orientation="portrait" horizontalDpi="300" verticalDpi="3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B3:P19"/>
  <sheetViews>
    <sheetView zoomScale="90" zoomScaleNormal="90" workbookViewId="0">
      <pane ySplit="7" topLeftCell="A8" activePane="bottomLeft" state="frozen"/>
      <selection pane="bottomLeft" activeCell="A8" sqref="A8"/>
    </sheetView>
  </sheetViews>
  <sheetFormatPr defaultColWidth="8.85546875" defaultRowHeight="15" x14ac:dyDescent="0.25"/>
  <cols>
    <col min="1" max="1" width="8.85546875" style="1"/>
    <col min="2" max="2" width="8.7109375" style="1" customWidth="1"/>
    <col min="3" max="3" width="46.5703125" style="1" customWidth="1"/>
    <col min="4" max="4" width="9.28515625" style="1" bestFit="1" customWidth="1"/>
    <col min="5" max="5" width="12.7109375" style="1" customWidth="1"/>
    <col min="6" max="6" width="10.42578125" style="1" customWidth="1"/>
    <col min="7" max="7" width="10.85546875" style="1" customWidth="1"/>
    <col min="8" max="8" width="10.28515625" style="1" customWidth="1"/>
    <col min="9" max="10" width="8.85546875" style="1"/>
    <col min="11" max="11" width="47.7109375" style="1" customWidth="1"/>
    <col min="12" max="12" width="8.140625" style="1" bestFit="1" customWidth="1"/>
    <col min="13" max="13" width="10.140625" style="1" bestFit="1" customWidth="1"/>
    <col min="14" max="15" width="11" style="1" bestFit="1" customWidth="1"/>
    <col min="16" max="16" width="10.42578125" style="1" bestFit="1" customWidth="1"/>
    <col min="17" max="16384" width="8.85546875" style="1"/>
  </cols>
  <sheetData>
    <row r="3" spans="2:16" ht="21" x14ac:dyDescent="0.35">
      <c r="B3" s="264"/>
      <c r="C3" s="264"/>
      <c r="D3" s="264"/>
      <c r="E3" s="264"/>
      <c r="F3" s="264"/>
    </row>
    <row r="4" spans="2:16" ht="37.15" customHeight="1" x14ac:dyDescent="0.3">
      <c r="C4" s="259" t="s">
        <v>157</v>
      </c>
      <c r="D4" s="260"/>
      <c r="E4" s="260"/>
      <c r="F4" s="260"/>
      <c r="G4" s="260"/>
      <c r="H4" s="260"/>
      <c r="K4" s="259" t="s">
        <v>158</v>
      </c>
      <c r="L4" s="260"/>
      <c r="M4" s="260"/>
      <c r="N4" s="260"/>
      <c r="O4" s="260"/>
      <c r="P4" s="260"/>
    </row>
    <row r="5" spans="2:16" ht="18.75" x14ac:dyDescent="0.25">
      <c r="B5" s="80"/>
      <c r="C5" s="80"/>
      <c r="D5" s="80"/>
      <c r="E5" s="80"/>
      <c r="F5" s="80"/>
      <c r="H5" s="73" t="s">
        <v>34</v>
      </c>
      <c r="P5" s="74" t="s">
        <v>45</v>
      </c>
    </row>
    <row r="6" spans="2:16" ht="18.75" x14ac:dyDescent="0.25">
      <c r="B6" s="12"/>
      <c r="C6" s="265" t="s">
        <v>22</v>
      </c>
      <c r="D6" s="255" t="s">
        <v>151</v>
      </c>
      <c r="E6" s="257" t="s">
        <v>150</v>
      </c>
      <c r="F6" s="257"/>
      <c r="G6" s="257"/>
      <c r="H6" s="258"/>
      <c r="K6" s="265" t="s">
        <v>22</v>
      </c>
      <c r="L6" s="255" t="s">
        <v>151</v>
      </c>
      <c r="M6" s="257" t="s">
        <v>150</v>
      </c>
      <c r="N6" s="257"/>
      <c r="O6" s="257"/>
      <c r="P6" s="258"/>
    </row>
    <row r="7" spans="2:16" ht="31.5" x14ac:dyDescent="0.25">
      <c r="B7" s="12"/>
      <c r="C7" s="266"/>
      <c r="D7" s="256"/>
      <c r="E7" s="160" t="s">
        <v>147</v>
      </c>
      <c r="F7" s="161" t="s">
        <v>144</v>
      </c>
      <c r="G7" s="162" t="s">
        <v>145</v>
      </c>
      <c r="H7" s="161" t="s">
        <v>146</v>
      </c>
      <c r="K7" s="266"/>
      <c r="L7" s="256"/>
      <c r="M7" s="160" t="s">
        <v>156</v>
      </c>
      <c r="N7" s="161" t="s">
        <v>153</v>
      </c>
      <c r="O7" s="162" t="s">
        <v>154</v>
      </c>
      <c r="P7" s="161" t="s">
        <v>155</v>
      </c>
    </row>
    <row r="8" spans="2:16" ht="18.75" x14ac:dyDescent="0.3">
      <c r="B8" s="12"/>
      <c r="C8" s="261" t="s">
        <v>148</v>
      </c>
      <c r="D8" s="262"/>
      <c r="E8" s="262"/>
      <c r="F8" s="262"/>
      <c r="G8" s="262"/>
      <c r="H8" s="263"/>
      <c r="K8" s="261" t="s">
        <v>44</v>
      </c>
      <c r="L8" s="262"/>
      <c r="M8" s="262"/>
      <c r="N8" s="262"/>
      <c r="O8" s="262"/>
      <c r="P8" s="263"/>
    </row>
    <row r="9" spans="2:16" ht="18.75" x14ac:dyDescent="0.25">
      <c r="B9" s="12"/>
      <c r="C9" s="83" t="str">
        <f>'Сравнение налоговой нагрузки'!B6</f>
        <v>Стандартная система налогообложения</v>
      </c>
      <c r="D9" s="88" t="s">
        <v>34</v>
      </c>
      <c r="E9" s="86">
        <f>'Сравнение налоговой нагрузки'!C6/20</f>
        <v>750.71839929840894</v>
      </c>
      <c r="F9" s="86">
        <f>SUM('Сравнение налоговой нагрузки'!D6:H6)</f>
        <v>3312.6840937963393</v>
      </c>
      <c r="G9" s="96">
        <f>SUM('Сравнение налоговой нагрузки'!D6:M6)</f>
        <v>7213.2453911869525</v>
      </c>
      <c r="H9" s="97">
        <f>'Сравнение налоговой нагрузки'!C6</f>
        <v>15014.36798596818</v>
      </c>
      <c r="K9" s="83" t="str">
        <f>C9</f>
        <v>Стандартная система налогообложения</v>
      </c>
      <c r="L9" s="88" t="s">
        <v>45</v>
      </c>
      <c r="M9" s="94">
        <f>'Сравнение финпоказателей'!F16</f>
        <v>0.19039754810437554</v>
      </c>
      <c r="N9" s="94">
        <f>'Сравнение финпоказателей'!H16</f>
        <v>0.19039754810437554</v>
      </c>
      <c r="O9" s="102">
        <f>'Сравнение финпоказателей'!M16</f>
        <v>0.19039754810437554</v>
      </c>
      <c r="P9" s="103">
        <f>'Сравнение финпоказателей'!W16</f>
        <v>0.19039754810437554</v>
      </c>
    </row>
    <row r="10" spans="2:16" ht="4.9000000000000004" customHeight="1" x14ac:dyDescent="0.25">
      <c r="B10" s="12"/>
      <c r="C10" s="84"/>
      <c r="D10" s="89"/>
      <c r="E10" s="81"/>
      <c r="F10" s="81"/>
      <c r="G10" s="98"/>
      <c r="H10" s="99"/>
      <c r="K10" s="84"/>
      <c r="L10" s="89"/>
      <c r="M10" s="95"/>
      <c r="N10" s="95"/>
      <c r="O10" s="104"/>
      <c r="P10" s="105"/>
    </row>
    <row r="11" spans="2:16" ht="18.75" x14ac:dyDescent="0.25">
      <c r="B11" s="12"/>
      <c r="C11" s="191" t="str">
        <f>'Сравнение налоговой нагрузки'!B19</f>
        <v>Свободная экономическая зона</v>
      </c>
      <c r="D11" s="192" t="s">
        <v>34</v>
      </c>
      <c r="E11" s="198">
        <f>'Сравнение налоговой нагрузки'!C19/20</f>
        <v>526.73472998030252</v>
      </c>
      <c r="F11" s="198">
        <f>SUM('Сравнение налоговой нагрузки'!D19:G19)</f>
        <v>2013.114214771042</v>
      </c>
      <c r="G11" s="199">
        <f>SUM('Сравнение налоговой нагрузки'!D19:M19)</f>
        <v>5208.7068590841682</v>
      </c>
      <c r="H11" s="200">
        <f>'Сравнение налоговой нагрузки'!C19</f>
        <v>10534.694599606049</v>
      </c>
      <c r="K11" s="191" t="str">
        <f>C11</f>
        <v>Свободная экономическая зона</v>
      </c>
      <c r="L11" s="192" t="s">
        <v>45</v>
      </c>
      <c r="M11" s="193">
        <f>'Сравнение финпоказателей'!F26</f>
        <v>0.23190024518956243</v>
      </c>
      <c r="N11" s="193">
        <f>'Сравнение финпоказателей'!H26</f>
        <v>0.23190024518956243</v>
      </c>
      <c r="O11" s="194">
        <f>'Сравнение финпоказателей'!M26</f>
        <v>0.23190024518956243</v>
      </c>
      <c r="P11" s="195">
        <f>'Сравнение финпоказателей'!W26</f>
        <v>0.23190024518956243</v>
      </c>
    </row>
    <row r="12" spans="2:16" ht="26.25" x14ac:dyDescent="0.25">
      <c r="B12" s="12"/>
      <c r="C12" s="85" t="s">
        <v>149</v>
      </c>
      <c r="D12" s="90" t="s">
        <v>45</v>
      </c>
      <c r="E12" s="87">
        <f>E9/E11-1</f>
        <v>0.42523049377526778</v>
      </c>
      <c r="F12" s="87">
        <f>F9/F11-1</f>
        <v>0.6455519858186991</v>
      </c>
      <c r="G12" s="87">
        <f>G9/G11-1</f>
        <v>0.38484379834253835</v>
      </c>
      <c r="H12" s="100">
        <f>H9/H11-1</f>
        <v>0.425230493775268</v>
      </c>
      <c r="K12" s="85" t="s">
        <v>152</v>
      </c>
      <c r="L12" s="90" t="s">
        <v>45</v>
      </c>
      <c r="M12" s="87">
        <f>M11/M9-1</f>
        <v>0.21797915728639117</v>
      </c>
      <c r="N12" s="87">
        <f>N11/N9-1</f>
        <v>0.21797915728639117</v>
      </c>
      <c r="O12" s="87">
        <f>O11/O9-1</f>
        <v>0.21797915728639117</v>
      </c>
      <c r="P12" s="100">
        <f>P11/P9-1</f>
        <v>0.21797915728639117</v>
      </c>
    </row>
    <row r="13" spans="2:16" ht="18.75" x14ac:dyDescent="0.3">
      <c r="B13" s="13"/>
      <c r="C13" s="196" t="str">
        <f>'Сравнение налоговой нагрузки'!B32</f>
        <v>Инвестиционный договор</v>
      </c>
      <c r="D13" s="197" t="s">
        <v>34</v>
      </c>
      <c r="E13" s="199">
        <f>'Сравнение налоговой нагрузки'!C32/20</f>
        <v>689.59042055640418</v>
      </c>
      <c r="F13" s="199">
        <f>SUM('Сравнение налоговой нагрузки'!D32:H32)</f>
        <v>2185.3232930084328</v>
      </c>
      <c r="G13" s="199">
        <f>SUM('Сравнение налоговой нагрузки'!D32:M32)</f>
        <v>5990.6858163468578</v>
      </c>
      <c r="H13" s="200">
        <f>'Сравнение налоговой нагрузки'!C32</f>
        <v>13791.808411128084</v>
      </c>
      <c r="K13" s="196" t="str">
        <f>C13</f>
        <v>Инвестиционный договор</v>
      </c>
      <c r="L13" s="197" t="s">
        <v>45</v>
      </c>
      <c r="M13" s="194">
        <f>'Сравнение финпоказателей'!F36</f>
        <v>0.20236049037912485</v>
      </c>
      <c r="N13" s="194">
        <f>'Сравнение финпоказателей'!H36</f>
        <v>0.19991742550959429</v>
      </c>
      <c r="O13" s="194">
        <f>'Сравнение финпоказателей'!M36</f>
        <v>0.19039754810437554</v>
      </c>
      <c r="P13" s="195">
        <f>'Сравнение финпоказателей'!W36</f>
        <v>0.19039754810437554</v>
      </c>
    </row>
    <row r="14" spans="2:16" ht="27" x14ac:dyDescent="0.3">
      <c r="B14" s="13"/>
      <c r="C14" s="85" t="s">
        <v>149</v>
      </c>
      <c r="D14" s="90" t="s">
        <v>45</v>
      </c>
      <c r="E14" s="91">
        <f>E9/E13-1</f>
        <v>8.8643891968051003E-2</v>
      </c>
      <c r="F14" s="91">
        <f>F9/F13-1</f>
        <v>0.51587827045760415</v>
      </c>
      <c r="G14" s="91">
        <f>G9/G13-1</f>
        <v>0.20407673049788078</v>
      </c>
      <c r="H14" s="101">
        <f>H9/H13-1</f>
        <v>8.8643891968051003E-2</v>
      </c>
      <c r="K14" s="85" t="s">
        <v>152</v>
      </c>
      <c r="L14" s="90" t="s">
        <v>45</v>
      </c>
      <c r="M14" s="91">
        <f>M13/M9-1</f>
        <v>6.2831388291782364E-2</v>
      </c>
      <c r="N14" s="91">
        <f>N13/N9-1</f>
        <v>4.9999999999999822E-2</v>
      </c>
      <c r="O14" s="91">
        <f>O13/O9-1</f>
        <v>0</v>
      </c>
      <c r="P14" s="101">
        <f>P13/P9-1</f>
        <v>0</v>
      </c>
    </row>
    <row r="15" spans="2:16" ht="32.25" x14ac:dyDescent="0.3">
      <c r="B15" s="13"/>
      <c r="C15" s="227" t="str">
        <f>'Сравнение налоговой нагрузки'!B47</f>
        <v>Свободная экономическая зона+
инвестиционный договор</v>
      </c>
      <c r="D15" s="197" t="s">
        <v>34</v>
      </c>
      <c r="E15" s="199">
        <f>'Сравнение налоговой нагрузки'!C47/20</f>
        <v>473.38897326870739</v>
      </c>
      <c r="F15" s="199">
        <f>SUM('Сравнение налоговой нагрузки'!D47:H47)</f>
        <v>1526.3972416174224</v>
      </c>
      <c r="G15" s="199">
        <f>SUM('Сравнение налоговой нагрузки'!D47:M47)</f>
        <v>4141.7917248522681</v>
      </c>
      <c r="H15" s="200">
        <f>'Сравнение налоговой нагрузки'!C47</f>
        <v>9467.7794653741475</v>
      </c>
      <c r="K15" s="227" t="str">
        <f>C15</f>
        <v>Свободная экономическая зона+
инвестиционный договор</v>
      </c>
      <c r="L15" s="197" t="s">
        <v>45</v>
      </c>
      <c r="M15" s="194">
        <f>'Сравнение финпоказателей'!F46</f>
        <v>0.23666018389217178</v>
      </c>
      <c r="N15" s="194">
        <f>'Сравнение финпоказателей'!H46</f>
        <v>0.23666018389217178</v>
      </c>
      <c r="O15" s="194">
        <f>'Сравнение финпоказателей'!M46</f>
        <v>0.23190024518956243</v>
      </c>
      <c r="P15" s="195">
        <f>'Сравнение финпоказателей'!W46</f>
        <v>0.23190024518956243</v>
      </c>
    </row>
    <row r="16" spans="2:16" ht="27" x14ac:dyDescent="0.3">
      <c r="B16" s="13"/>
      <c r="C16" s="85" t="s">
        <v>149</v>
      </c>
      <c r="D16" s="90" t="s">
        <v>45</v>
      </c>
      <c r="E16" s="91">
        <f>E9/E15-1</f>
        <v>0.5858383732826884</v>
      </c>
      <c r="F16" s="91">
        <f>F9/F15-1</f>
        <v>1.1702634173304105</v>
      </c>
      <c r="G16" s="91">
        <f>G9/G15-1</f>
        <v>0.74157607875471787</v>
      </c>
      <c r="H16" s="101">
        <f>H9/H15-1</f>
        <v>0.5858383732826884</v>
      </c>
      <c r="K16" s="85" t="s">
        <v>152</v>
      </c>
      <c r="L16" s="90" t="s">
        <v>45</v>
      </c>
      <c r="M16" s="91">
        <f>M15/M9-1</f>
        <v>0.24297915728639086</v>
      </c>
      <c r="N16" s="91">
        <f>N15/N9-1</f>
        <v>0.24297915728639086</v>
      </c>
      <c r="O16" s="91">
        <f>O15/O9-1</f>
        <v>0.21797915728639117</v>
      </c>
      <c r="P16" s="101">
        <f>P15/P9-1</f>
        <v>0.21797915728639117</v>
      </c>
    </row>
    <row r="17" spans="2:11" ht="18.75" x14ac:dyDescent="0.3">
      <c r="B17" s="13"/>
      <c r="C17" s="82"/>
      <c r="D17" s="82"/>
      <c r="K17" s="93" t="s">
        <v>171</v>
      </c>
    </row>
    <row r="18" spans="2:11" s="15" customFormat="1" ht="18.75" x14ac:dyDescent="0.3">
      <c r="B18" s="106"/>
      <c r="C18" s="92" t="s">
        <v>170</v>
      </c>
      <c r="D18" s="92"/>
      <c r="K18" s="15" t="s">
        <v>172</v>
      </c>
    </row>
    <row r="19" spans="2:11" ht="18.75" x14ac:dyDescent="0.3">
      <c r="B19" s="13"/>
    </row>
  </sheetData>
  <mergeCells count="11">
    <mergeCell ref="B3:F3"/>
    <mergeCell ref="E6:H6"/>
    <mergeCell ref="C6:C7"/>
    <mergeCell ref="D6:D7"/>
    <mergeCell ref="K6:K7"/>
    <mergeCell ref="L6:L7"/>
    <mergeCell ref="M6:P6"/>
    <mergeCell ref="C4:H4"/>
    <mergeCell ref="K4:P4"/>
    <mergeCell ref="C8:H8"/>
    <mergeCell ref="K8:P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DZ2196"/>
  <sheetViews>
    <sheetView zoomScale="90" zoomScaleNormal="90" workbookViewId="0">
      <pane ySplit="5" topLeftCell="A6" activePane="bottomLeft" state="frozen"/>
      <selection pane="bottomLeft" activeCell="F36" sqref="F36"/>
    </sheetView>
  </sheetViews>
  <sheetFormatPr defaultRowHeight="15" outlineLevelRow="1" x14ac:dyDescent="0.25"/>
  <cols>
    <col min="1" max="1" width="8.85546875" style="1"/>
    <col min="2" max="2" width="44.140625" customWidth="1"/>
    <col min="3" max="3" width="15.140625" bestFit="1" customWidth="1"/>
    <col min="4" max="4" width="9.28515625" customWidth="1"/>
    <col min="24" max="130" width="8.85546875" style="1"/>
  </cols>
  <sheetData>
    <row r="1" spans="1:130" s="1" customFormat="1" x14ac:dyDescent="0.25"/>
    <row r="2" spans="1:130" s="1" customFormat="1" ht="18.75" x14ac:dyDescent="0.3">
      <c r="B2" s="268" t="s">
        <v>134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30" s="1" customFormat="1" ht="15.75" x14ac:dyDescent="0.25">
      <c r="N3" s="74" t="s">
        <v>34</v>
      </c>
    </row>
    <row r="4" spans="1:130" x14ac:dyDescent="0.25">
      <c r="B4" s="237" t="s">
        <v>20</v>
      </c>
      <c r="C4" s="235" t="s">
        <v>132</v>
      </c>
      <c r="D4" s="238" t="s">
        <v>133</v>
      </c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9"/>
    </row>
    <row r="5" spans="1:130" x14ac:dyDescent="0.25">
      <c r="B5" s="267"/>
      <c r="C5" s="236"/>
      <c r="D5" s="163">
        <v>1</v>
      </c>
      <c r="E5" s="163">
        <f>D5+1</f>
        <v>2</v>
      </c>
      <c r="F5" s="163">
        <f t="shared" ref="F5:V5" si="0">E5+1</f>
        <v>3</v>
      </c>
      <c r="G5" s="163">
        <f t="shared" si="0"/>
        <v>4</v>
      </c>
      <c r="H5" s="163">
        <f t="shared" si="0"/>
        <v>5</v>
      </c>
      <c r="I5" s="163">
        <f t="shared" si="0"/>
        <v>6</v>
      </c>
      <c r="J5" s="163">
        <f t="shared" si="0"/>
        <v>7</v>
      </c>
      <c r="K5" s="163">
        <f t="shared" si="0"/>
        <v>8</v>
      </c>
      <c r="L5" s="163">
        <f t="shared" si="0"/>
        <v>9</v>
      </c>
      <c r="M5" s="163">
        <f t="shared" si="0"/>
        <v>10</v>
      </c>
      <c r="N5" s="163">
        <f t="shared" si="0"/>
        <v>11</v>
      </c>
      <c r="O5" s="163">
        <f t="shared" si="0"/>
        <v>12</v>
      </c>
      <c r="P5" s="163">
        <f t="shared" si="0"/>
        <v>13</v>
      </c>
      <c r="Q5" s="163">
        <f t="shared" si="0"/>
        <v>14</v>
      </c>
      <c r="R5" s="163">
        <f t="shared" si="0"/>
        <v>15</v>
      </c>
      <c r="S5" s="163">
        <f t="shared" si="0"/>
        <v>16</v>
      </c>
      <c r="T5" s="163">
        <f t="shared" si="0"/>
        <v>17</v>
      </c>
      <c r="U5" s="163">
        <f t="shared" si="0"/>
        <v>18</v>
      </c>
      <c r="V5" s="163">
        <f t="shared" si="0"/>
        <v>19</v>
      </c>
      <c r="W5" s="164">
        <f>V5+1</f>
        <v>20</v>
      </c>
    </row>
    <row r="6" spans="1:130" s="64" customFormat="1" x14ac:dyDescent="0.25">
      <c r="A6" s="11"/>
      <c r="B6" s="201" t="s">
        <v>131</v>
      </c>
      <c r="C6" s="202">
        <f>SUM(D6:W6)</f>
        <v>15014.36798596818</v>
      </c>
      <c r="D6" s="203">
        <f>D7+D10+D11+D12+D13+D14+D15</f>
        <v>486.1736576809862</v>
      </c>
      <c r="E6" s="203">
        <f t="shared" ref="E6:W6" si="1">E7+E10+E11+E12+E13+E14+E15</f>
        <v>486.1736576809862</v>
      </c>
      <c r="F6" s="203">
        <f t="shared" si="1"/>
        <v>780.11225947812238</v>
      </c>
      <c r="G6" s="203">
        <f t="shared" si="1"/>
        <v>780.11225947812238</v>
      </c>
      <c r="H6" s="203">
        <f t="shared" si="1"/>
        <v>780.11225947812238</v>
      </c>
      <c r="I6" s="203">
        <f t="shared" si="1"/>
        <v>780.11225947812238</v>
      </c>
      <c r="J6" s="203">
        <f t="shared" si="1"/>
        <v>780.11225947812238</v>
      </c>
      <c r="K6" s="203">
        <f t="shared" si="1"/>
        <v>780.11225947812238</v>
      </c>
      <c r="L6" s="203">
        <f t="shared" si="1"/>
        <v>780.11225947812238</v>
      </c>
      <c r="M6" s="203">
        <f t="shared" si="1"/>
        <v>780.11225947812238</v>
      </c>
      <c r="N6" s="203">
        <f t="shared" si="1"/>
        <v>780.11225947812238</v>
      </c>
      <c r="O6" s="203">
        <f t="shared" si="1"/>
        <v>780.11225947812238</v>
      </c>
      <c r="P6" s="203">
        <f t="shared" si="1"/>
        <v>780.11225947812238</v>
      </c>
      <c r="Q6" s="203">
        <f t="shared" si="1"/>
        <v>780.11225947812238</v>
      </c>
      <c r="R6" s="203">
        <f t="shared" si="1"/>
        <v>780.11225947812238</v>
      </c>
      <c r="S6" s="203">
        <f t="shared" si="1"/>
        <v>780.11225947812238</v>
      </c>
      <c r="T6" s="203">
        <f t="shared" si="1"/>
        <v>780.11225947812238</v>
      </c>
      <c r="U6" s="203">
        <f t="shared" si="1"/>
        <v>780.11225947812238</v>
      </c>
      <c r="V6" s="203">
        <f t="shared" si="1"/>
        <v>780.11225947812238</v>
      </c>
      <c r="W6" s="203">
        <f t="shared" si="1"/>
        <v>780.11225947812238</v>
      </c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</row>
    <row r="7" spans="1:130" s="11" customFormat="1" outlineLevel="1" x14ac:dyDescent="0.25">
      <c r="B7" s="11" t="s">
        <v>120</v>
      </c>
      <c r="C7" s="65">
        <f>SUM(D7:W7)</f>
        <v>4141.6666666666661</v>
      </c>
      <c r="D7" s="72">
        <f>D8+D9</f>
        <v>270.83333333333331</v>
      </c>
      <c r="E7" s="72">
        <f t="shared" ref="E7:W7" si="2">E8+E9</f>
        <v>270.83333333333331</v>
      </c>
      <c r="F7" s="72">
        <f t="shared" si="2"/>
        <v>200</v>
      </c>
      <c r="G7" s="72">
        <f t="shared" si="2"/>
        <v>200</v>
      </c>
      <c r="H7" s="72">
        <f t="shared" si="2"/>
        <v>200</v>
      </c>
      <c r="I7" s="72">
        <f t="shared" si="2"/>
        <v>200</v>
      </c>
      <c r="J7" s="72">
        <f t="shared" si="2"/>
        <v>200</v>
      </c>
      <c r="K7" s="72">
        <f t="shared" si="2"/>
        <v>200</v>
      </c>
      <c r="L7" s="72">
        <f t="shared" si="2"/>
        <v>200</v>
      </c>
      <c r="M7" s="72">
        <f t="shared" si="2"/>
        <v>200</v>
      </c>
      <c r="N7" s="72">
        <f t="shared" si="2"/>
        <v>200</v>
      </c>
      <c r="O7" s="72">
        <f t="shared" si="2"/>
        <v>200</v>
      </c>
      <c r="P7" s="72">
        <f t="shared" si="2"/>
        <v>200</v>
      </c>
      <c r="Q7" s="72">
        <f t="shared" si="2"/>
        <v>200</v>
      </c>
      <c r="R7" s="72">
        <f t="shared" si="2"/>
        <v>200</v>
      </c>
      <c r="S7" s="72">
        <f t="shared" si="2"/>
        <v>200</v>
      </c>
      <c r="T7" s="72">
        <f t="shared" si="2"/>
        <v>200</v>
      </c>
      <c r="U7" s="72">
        <f t="shared" si="2"/>
        <v>200</v>
      </c>
      <c r="V7" s="72">
        <f t="shared" si="2"/>
        <v>200</v>
      </c>
      <c r="W7" s="72">
        <f t="shared" si="2"/>
        <v>200</v>
      </c>
    </row>
    <row r="8" spans="1:130" s="15" customFormat="1" outlineLevel="1" x14ac:dyDescent="0.25">
      <c r="B8" s="15" t="s">
        <v>125</v>
      </c>
      <c r="C8" s="66">
        <f t="shared" ref="C8:C12" si="3">SUM(D8:W8)</f>
        <v>3600</v>
      </c>
      <c r="D8" s="142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8" s="142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8" s="142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8" s="142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8" s="142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8" s="142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8" s="142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8" s="142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8" s="142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8" s="142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8" s="142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8" s="142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8" s="142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8" s="142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8" s="142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8" s="142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8" s="142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8" s="142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8" s="142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8" s="142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</row>
    <row r="9" spans="1:130" s="15" customFormat="1" outlineLevel="1" x14ac:dyDescent="0.25">
      <c r="B9" s="15" t="s">
        <v>126</v>
      </c>
      <c r="C9" s="66">
        <f t="shared" si="3"/>
        <v>541.66666666666663</v>
      </c>
      <c r="D9" s="142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9" s="142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9" s="142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9" s="142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9" s="142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9" s="142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9" s="142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9" s="142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9" s="142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9" s="142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9" s="142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9" s="142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9" s="142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9" s="142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9" s="142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9" s="142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9" s="142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9" s="142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9" s="142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9" s="142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</row>
    <row r="10" spans="1:130" s="11" customFormat="1" outlineLevel="1" x14ac:dyDescent="0.25">
      <c r="B10" s="11" t="s">
        <v>121</v>
      </c>
      <c r="C10" s="65">
        <f t="shared" si="3"/>
        <v>4283.9448323484494</v>
      </c>
      <c r="D10" s="145">
        <f>IF('Сравнение налоговой нагрузки'!D$5&lt;='Портрет типового резидента'!$E$10,0,'Портрет типового резидента'!$E$62)</f>
        <v>0</v>
      </c>
      <c r="E10" s="145">
        <f>IF('Сравнение налоговой нагрузки'!E$5&lt;='Портрет типового резидента'!$E$10,0,'Портрет типового резидента'!$E$62)</f>
        <v>0</v>
      </c>
      <c r="F10" s="145">
        <f>IF('Сравнение налоговой нагрузки'!F$5&lt;='Портрет типового резидента'!$E$10,0,'Портрет типового резидента'!$E$62)</f>
        <v>237.99693513046941</v>
      </c>
      <c r="G10" s="145">
        <f>IF('Сравнение налоговой нагрузки'!G$5&lt;='Портрет типового резидента'!$E$10,0,'Портрет типового резидента'!$E$62)</f>
        <v>237.99693513046941</v>
      </c>
      <c r="H10" s="145">
        <f>IF('Сравнение налоговой нагрузки'!H$5&lt;='Портрет типового резидента'!$E$10,0,'Портрет типового резидента'!$E$62)</f>
        <v>237.99693513046941</v>
      </c>
      <c r="I10" s="145">
        <f>IF('Сравнение налоговой нагрузки'!I$5&lt;='Портрет типового резидента'!$E$10,0,'Портрет типового резидента'!$E$62)</f>
        <v>237.99693513046941</v>
      </c>
      <c r="J10" s="145">
        <f>IF('Сравнение налоговой нагрузки'!J$5&lt;='Портрет типового резидента'!$E$10,0,'Портрет типового резидента'!$E$62)</f>
        <v>237.99693513046941</v>
      </c>
      <c r="K10" s="145">
        <f>IF('Сравнение налоговой нагрузки'!K$5&lt;='Портрет типового резидента'!$E$10,0,'Портрет типового резидента'!$E$62)</f>
        <v>237.99693513046941</v>
      </c>
      <c r="L10" s="145">
        <f>IF('Сравнение налоговой нагрузки'!L$5&lt;='Портрет типового резидента'!$E$10,0,'Портрет типового резидента'!$E$62)</f>
        <v>237.99693513046941</v>
      </c>
      <c r="M10" s="145">
        <f>IF('Сравнение налоговой нагрузки'!M$5&lt;='Портрет типового резидента'!$E$10,0,'Портрет типового резидента'!$E$62)</f>
        <v>237.99693513046941</v>
      </c>
      <c r="N10" s="145">
        <f>IF('Сравнение налоговой нагрузки'!N$5&lt;='Портрет типового резидента'!$E$10,0,'Портрет типового резидента'!$E$62)</f>
        <v>237.99693513046941</v>
      </c>
      <c r="O10" s="145">
        <f>IF('Сравнение налоговой нагрузки'!O$5&lt;='Портрет типового резидента'!$E$10,0,'Портрет типового резидента'!$E$62)</f>
        <v>237.99693513046941</v>
      </c>
      <c r="P10" s="145">
        <f>IF('Сравнение налоговой нагрузки'!P$5&lt;='Портрет типового резидента'!$E$10,0,'Портрет типового резидента'!$E$62)</f>
        <v>237.99693513046941</v>
      </c>
      <c r="Q10" s="145">
        <f>IF('Сравнение налоговой нагрузки'!Q$5&lt;='Портрет типового резидента'!$E$10,0,'Портрет типового резидента'!$E$62)</f>
        <v>237.99693513046941</v>
      </c>
      <c r="R10" s="145">
        <f>IF('Сравнение налоговой нагрузки'!R$5&lt;='Портрет типового резидента'!$E$10,0,'Портрет типового резидента'!$E$62)</f>
        <v>237.99693513046941</v>
      </c>
      <c r="S10" s="145">
        <f>IF('Сравнение налоговой нагрузки'!S$5&lt;='Портрет типового резидента'!$E$10,0,'Портрет типового резидента'!$E$62)</f>
        <v>237.99693513046941</v>
      </c>
      <c r="T10" s="145">
        <f>IF('Сравнение налоговой нагрузки'!T$5&lt;='Портрет типового резидента'!$E$10,0,'Портрет типового резидента'!$E$62)</f>
        <v>237.99693513046941</v>
      </c>
      <c r="U10" s="145">
        <f>IF('Сравнение налоговой нагрузки'!U$5&lt;='Портрет типового резидента'!$E$10,0,'Портрет типового резидента'!$E$62)</f>
        <v>237.99693513046941</v>
      </c>
      <c r="V10" s="145">
        <f>IF('Сравнение налоговой нагрузки'!V$5&lt;='Портрет типового резидента'!$E$10,0,'Портрет типового резидента'!$E$62)</f>
        <v>237.99693513046941</v>
      </c>
      <c r="W10" s="145">
        <f>IF('Сравнение налоговой нагрузки'!W$5&lt;='Портрет типового резидента'!$E$10,0,'Портрет типового резидента'!$E$62)</f>
        <v>237.99693513046941</v>
      </c>
    </row>
    <row r="11" spans="1:130" s="11" customFormat="1" outlineLevel="1" x14ac:dyDescent="0.25">
      <c r="B11" s="11" t="s">
        <v>122</v>
      </c>
      <c r="C11" s="65">
        <f t="shared" si="3"/>
        <v>585</v>
      </c>
      <c r="D11" s="145">
        <f>IF('Сравнение налоговой нагрузки'!D$5&lt;='Портрет типового резидента'!$E$10,0,'Портрет типового резидента'!$E$49)</f>
        <v>0</v>
      </c>
      <c r="E11" s="145">
        <f>IF('Сравнение налоговой нагрузки'!E$5&lt;='Портрет типового резидента'!$E$10,0,'Портрет типового резидента'!$E$49)</f>
        <v>0</v>
      </c>
      <c r="F11" s="145">
        <f>IF('Сравнение налоговой нагрузки'!F$5&lt;='Портрет типового резидента'!$E$10,0,'Портрет типового резидента'!$E$49)</f>
        <v>32.5</v>
      </c>
      <c r="G11" s="145">
        <f>IF('Сравнение налоговой нагрузки'!G$5&lt;='Портрет типового резидента'!$E$10,0,'Портрет типового резидента'!$E$49)</f>
        <v>32.5</v>
      </c>
      <c r="H11" s="145">
        <f>IF('Сравнение налоговой нагрузки'!H$5&lt;='Портрет типового резидента'!$E$10,0,'Портрет типового резидента'!$E$49)</f>
        <v>32.5</v>
      </c>
      <c r="I11" s="145">
        <f>IF('Сравнение налоговой нагрузки'!I$5&lt;='Портрет типового резидента'!$E$10,0,'Портрет типового резидента'!$E$49)</f>
        <v>32.5</v>
      </c>
      <c r="J11" s="145">
        <f>IF('Сравнение налоговой нагрузки'!J$5&lt;='Портрет типового резидента'!$E$10,0,'Портрет типового резидента'!$E$49)</f>
        <v>32.5</v>
      </c>
      <c r="K11" s="145">
        <f>IF('Сравнение налоговой нагрузки'!K$5&lt;='Портрет типового резидента'!$E$10,0,'Портрет типового резидента'!$E$49)</f>
        <v>32.5</v>
      </c>
      <c r="L11" s="145">
        <f>IF('Сравнение налоговой нагрузки'!L$5&lt;='Портрет типового резидента'!$E$10,0,'Портрет типового резидента'!$E$49)</f>
        <v>32.5</v>
      </c>
      <c r="M11" s="145">
        <f>IF('Сравнение налоговой нагрузки'!M$5&lt;='Портрет типового резидента'!$E$10,0,'Портрет типового резидента'!$E$49)</f>
        <v>32.5</v>
      </c>
      <c r="N11" s="145">
        <f>IF('Сравнение налоговой нагрузки'!N$5&lt;='Портрет типового резидента'!$E$10,0,'Портрет типового резидента'!$E$49)</f>
        <v>32.5</v>
      </c>
      <c r="O11" s="145">
        <f>IF('Сравнение налоговой нагрузки'!O$5&lt;='Портрет типового резидента'!$E$10,0,'Портрет типового резидента'!$E$49)</f>
        <v>32.5</v>
      </c>
      <c r="P11" s="145">
        <f>IF('Сравнение налоговой нагрузки'!P$5&lt;='Портрет типового резидента'!$E$10,0,'Портрет типового резидента'!$E$49)</f>
        <v>32.5</v>
      </c>
      <c r="Q11" s="145">
        <f>IF('Сравнение налоговой нагрузки'!Q$5&lt;='Портрет типового резидента'!$E$10,0,'Портрет типового резидента'!$E$49)</f>
        <v>32.5</v>
      </c>
      <c r="R11" s="145">
        <f>IF('Сравнение налоговой нагрузки'!R$5&lt;='Портрет типового резидента'!$E$10,0,'Портрет типового резидента'!$E$49)</f>
        <v>32.5</v>
      </c>
      <c r="S11" s="145">
        <f>IF('Сравнение налоговой нагрузки'!S$5&lt;='Портрет типового резидента'!$E$10,0,'Портрет типового резидента'!$E$49)</f>
        <v>32.5</v>
      </c>
      <c r="T11" s="145">
        <f>IF('Сравнение налоговой нагрузки'!T$5&lt;='Портрет типового резидента'!$E$10,0,'Портрет типового резидента'!$E$49)</f>
        <v>32.5</v>
      </c>
      <c r="U11" s="145">
        <f>IF('Сравнение налоговой нагрузки'!U$5&lt;='Портрет типового резидента'!$E$10,0,'Портрет типового резидента'!$E$49)</f>
        <v>32.5</v>
      </c>
      <c r="V11" s="145">
        <f>IF('Сравнение налоговой нагрузки'!V$5&lt;='Портрет типового резидента'!$E$10,0,'Портрет типового резидента'!$E$49)</f>
        <v>32.5</v>
      </c>
      <c r="W11" s="145">
        <f>IF('Сравнение налоговой нагрузки'!W$5&lt;='Портрет типового резидента'!$E$10,0,'Портрет типового резидента'!$E$49)</f>
        <v>32.5</v>
      </c>
    </row>
    <row r="12" spans="1:130" s="11" customFormat="1" outlineLevel="1" x14ac:dyDescent="0.25">
      <c r="B12" s="11" t="s">
        <v>129</v>
      </c>
      <c r="C12" s="146">
        <f t="shared" si="3"/>
        <v>244.3064869530576</v>
      </c>
      <c r="D12" s="145">
        <f>'Портрет типового резидента'!$E$48</f>
        <v>12.215324347652876</v>
      </c>
      <c r="E12" s="145">
        <f>'Портрет типового резидента'!$E$48</f>
        <v>12.215324347652876</v>
      </c>
      <c r="F12" s="145">
        <f>'Портрет типового резидента'!$E$48</f>
        <v>12.215324347652876</v>
      </c>
      <c r="G12" s="145">
        <f>'Портрет типового резидента'!$E$48</f>
        <v>12.215324347652876</v>
      </c>
      <c r="H12" s="145">
        <f>'Портрет типового резидента'!$E$48</f>
        <v>12.215324347652876</v>
      </c>
      <c r="I12" s="145">
        <f>'Портрет типового резидента'!$E$48</f>
        <v>12.215324347652876</v>
      </c>
      <c r="J12" s="145">
        <f>'Портрет типового резидента'!$E$48</f>
        <v>12.215324347652876</v>
      </c>
      <c r="K12" s="145">
        <f>'Портрет типового резидента'!$E$48</f>
        <v>12.215324347652876</v>
      </c>
      <c r="L12" s="145">
        <f>'Портрет типового резидента'!$E$48</f>
        <v>12.215324347652876</v>
      </c>
      <c r="M12" s="145">
        <f>'Портрет типового резидента'!$E$48</f>
        <v>12.215324347652876</v>
      </c>
      <c r="N12" s="145">
        <f>'Портрет типового резидента'!$E$48</f>
        <v>12.215324347652876</v>
      </c>
      <c r="O12" s="145">
        <f>'Портрет типового резидента'!$E$48</f>
        <v>12.215324347652876</v>
      </c>
      <c r="P12" s="145">
        <f>'Портрет типового резидента'!$E$48</f>
        <v>12.215324347652876</v>
      </c>
      <c r="Q12" s="145">
        <f>'Портрет типового резидента'!$E$48</f>
        <v>12.215324347652876</v>
      </c>
      <c r="R12" s="145">
        <f>'Портрет типового резидента'!$E$48</f>
        <v>12.215324347652876</v>
      </c>
      <c r="S12" s="145">
        <f>'Портрет типового резидента'!$E$48</f>
        <v>12.215324347652876</v>
      </c>
      <c r="T12" s="145">
        <f>'Портрет типового резидента'!$E$48</f>
        <v>12.215324347652876</v>
      </c>
      <c r="U12" s="145">
        <f>'Портрет типового резидента'!$E$48</f>
        <v>12.215324347652876</v>
      </c>
      <c r="V12" s="145">
        <f>'Портрет типового резидента'!$E$48</f>
        <v>12.215324347652876</v>
      </c>
      <c r="W12" s="145">
        <f>'Портрет типового резидента'!$E$48</f>
        <v>12.215324347652876</v>
      </c>
    </row>
    <row r="13" spans="1:130" s="11" customFormat="1" outlineLevel="1" x14ac:dyDescent="0.25">
      <c r="B13" s="11" t="s">
        <v>123</v>
      </c>
      <c r="C13" s="65">
        <f t="shared" ref="C13:C15" si="4">SUM(D13:W13)</f>
        <v>2570.4</v>
      </c>
      <c r="D13" s="145">
        <f>IF('Сравнение налоговой нагрузки'!D$5&lt;='Портрет типового резидента'!$E$10,0,'Портрет типового резидента'!$E$41)</f>
        <v>0</v>
      </c>
      <c r="E13" s="145">
        <f>IF('Сравнение налоговой нагрузки'!E$5&lt;='Портрет типового резидента'!$E$10,0,'Портрет типового резидента'!$E$41)</f>
        <v>0</v>
      </c>
      <c r="F13" s="145">
        <f>IF('Сравнение налоговой нагрузки'!F$5&lt;='Портрет типового резидента'!$E$10,0,'Портрет типового резидента'!$E$41)</f>
        <v>142.80000000000001</v>
      </c>
      <c r="G13" s="145">
        <f>IF('Сравнение налоговой нагрузки'!G$5&lt;='Портрет типового резидента'!$E$10,0,'Портрет типового резидента'!$E$41)</f>
        <v>142.80000000000001</v>
      </c>
      <c r="H13" s="145">
        <f>IF('Сравнение налоговой нагрузки'!H$5&lt;='Портрет типового резидента'!$E$10,0,'Портрет типового резидента'!$E$41)</f>
        <v>142.80000000000001</v>
      </c>
      <c r="I13" s="145">
        <f>IF('Сравнение налоговой нагрузки'!I$5&lt;='Портрет типового резидента'!$E$10,0,'Портрет типового резидента'!$E$41)</f>
        <v>142.80000000000001</v>
      </c>
      <c r="J13" s="145">
        <f>IF('Сравнение налоговой нагрузки'!J$5&lt;='Портрет типового резидента'!$E$10,0,'Портрет типового резидента'!$E$41)</f>
        <v>142.80000000000001</v>
      </c>
      <c r="K13" s="145">
        <f>IF('Сравнение налоговой нагрузки'!K$5&lt;='Портрет типового резидента'!$E$10,0,'Портрет типового резидента'!$E$41)</f>
        <v>142.80000000000001</v>
      </c>
      <c r="L13" s="145">
        <f>IF('Сравнение налоговой нагрузки'!L$5&lt;='Портрет типового резидента'!$E$10,0,'Портрет типового резидента'!$E$41)</f>
        <v>142.80000000000001</v>
      </c>
      <c r="M13" s="145">
        <f>IF('Сравнение налоговой нагрузки'!M$5&lt;='Портрет типового резидента'!$E$10,0,'Портрет типового резидента'!$E$41)</f>
        <v>142.80000000000001</v>
      </c>
      <c r="N13" s="145">
        <f>IF('Сравнение налоговой нагрузки'!N$5&lt;='Портрет типового резидента'!$E$10,0,'Портрет типового резидента'!$E$41)</f>
        <v>142.80000000000001</v>
      </c>
      <c r="O13" s="145">
        <f>IF('Сравнение налоговой нагрузки'!O$5&lt;='Портрет типового резидента'!$E$10,0,'Портрет типового резидента'!$E$41)</f>
        <v>142.80000000000001</v>
      </c>
      <c r="P13" s="145">
        <f>IF('Сравнение налоговой нагрузки'!P$5&lt;='Портрет типового резидента'!$E$10,0,'Портрет типового резидента'!$E$41)</f>
        <v>142.80000000000001</v>
      </c>
      <c r="Q13" s="145">
        <f>IF('Сравнение налоговой нагрузки'!Q$5&lt;='Портрет типового резидента'!$E$10,0,'Портрет типового резидента'!$E$41)</f>
        <v>142.80000000000001</v>
      </c>
      <c r="R13" s="145">
        <f>IF('Сравнение налоговой нагрузки'!R$5&lt;='Портрет типового резидента'!$E$10,0,'Портрет типового резидента'!$E$41)</f>
        <v>142.80000000000001</v>
      </c>
      <c r="S13" s="145">
        <f>IF('Сравнение налоговой нагрузки'!S$5&lt;='Портрет типового резидента'!$E$10,0,'Портрет типового резидента'!$E$41)</f>
        <v>142.80000000000001</v>
      </c>
      <c r="T13" s="145">
        <f>IF('Сравнение налоговой нагрузки'!T$5&lt;='Портрет типового резидента'!$E$10,0,'Портрет типового резидента'!$E$41)</f>
        <v>142.80000000000001</v>
      </c>
      <c r="U13" s="145">
        <f>IF('Сравнение налоговой нагрузки'!U$5&lt;='Портрет типового резидента'!$E$10,0,'Портрет типового резидента'!$E$41)</f>
        <v>142.80000000000001</v>
      </c>
      <c r="V13" s="145">
        <f>IF('Сравнение налоговой нагрузки'!V$5&lt;='Портрет типового резидента'!$E$10,0,'Портрет типового резидента'!$E$41)</f>
        <v>142.80000000000001</v>
      </c>
      <c r="W13" s="145">
        <f>IF('Сравнение налоговой нагрузки'!W$5&lt;='Портрет типового резидента'!$E$10,0,'Портрет типового резидента'!$E$41)</f>
        <v>142.80000000000001</v>
      </c>
    </row>
    <row r="14" spans="1:130" s="11" customFormat="1" outlineLevel="1" x14ac:dyDescent="0.25">
      <c r="B14" s="11" t="s">
        <v>124</v>
      </c>
      <c r="C14" s="65">
        <f t="shared" si="4"/>
        <v>982.8000000000003</v>
      </c>
      <c r="D14" s="145">
        <f>IF('Сравнение налоговой нагрузки'!D$5&lt;='Портрет типового резидента'!$E$10,0,'Портрет типового резидента'!$E$38*Налогообложение!$E$19)</f>
        <v>0</v>
      </c>
      <c r="E14" s="145">
        <f>IF('Сравнение налоговой нагрузки'!E$5&lt;='Портрет типового резидента'!$E$10,0,'Портрет типового резидента'!$E$38*Налогообложение!$E$19)</f>
        <v>0</v>
      </c>
      <c r="F14" s="145">
        <f>IF('Сравнение налоговой нагрузки'!F$5&lt;='Портрет типового резидента'!$E$10,0,'Портрет типового резидента'!$E$38*Налогообложение!$E$19)</f>
        <v>54.6</v>
      </c>
      <c r="G14" s="145">
        <f>IF('Сравнение налоговой нагрузки'!G$5&lt;='Портрет типового резидента'!$E$10,0,'Портрет типового резидента'!$E$38*Налогообложение!$E$19)</f>
        <v>54.6</v>
      </c>
      <c r="H14" s="145">
        <f>IF('Сравнение налоговой нагрузки'!H$5&lt;='Портрет типового резидента'!$E$10,0,'Портрет типового резидента'!$E$38*Налогообложение!$E$19)</f>
        <v>54.6</v>
      </c>
      <c r="I14" s="145">
        <f>IF('Сравнение налоговой нагрузки'!I$5&lt;='Портрет типового резидента'!$E$10,0,'Портрет типового резидента'!$E$38*Налогообложение!$E$19)</f>
        <v>54.6</v>
      </c>
      <c r="J14" s="145">
        <f>IF('Сравнение налоговой нагрузки'!J$5&lt;='Портрет типового резидента'!$E$10,0,'Портрет типового резидента'!$E$38*Налогообложение!$E$19)</f>
        <v>54.6</v>
      </c>
      <c r="K14" s="145">
        <f>IF('Сравнение налоговой нагрузки'!K$5&lt;='Портрет типового резидента'!$E$10,0,'Портрет типового резидента'!$E$38*Налогообложение!$E$19)</f>
        <v>54.6</v>
      </c>
      <c r="L14" s="145">
        <f>IF('Сравнение налоговой нагрузки'!L$5&lt;='Портрет типового резидента'!$E$10,0,'Портрет типового резидента'!$E$38*Налогообложение!$E$19)</f>
        <v>54.6</v>
      </c>
      <c r="M14" s="145">
        <f>IF('Сравнение налоговой нагрузки'!M$5&lt;='Портрет типового резидента'!$E$10,0,'Портрет типового резидента'!$E$38*Налогообложение!$E$19)</f>
        <v>54.6</v>
      </c>
      <c r="N14" s="145">
        <f>IF('Сравнение налоговой нагрузки'!N$5&lt;='Портрет типового резидента'!$E$10,0,'Портрет типового резидента'!$E$38*Налогообложение!$E$19)</f>
        <v>54.6</v>
      </c>
      <c r="O14" s="145">
        <f>IF('Сравнение налоговой нагрузки'!O$5&lt;='Портрет типового резидента'!$E$10,0,'Портрет типового резидента'!$E$38*Налогообложение!$E$19)</f>
        <v>54.6</v>
      </c>
      <c r="P14" s="145">
        <f>IF('Сравнение налоговой нагрузки'!P$5&lt;='Портрет типового резидента'!$E$10,0,'Портрет типового резидента'!$E$38*Налогообложение!$E$19)</f>
        <v>54.6</v>
      </c>
      <c r="Q14" s="145">
        <f>IF('Сравнение налоговой нагрузки'!Q$5&lt;='Портрет типового резидента'!$E$10,0,'Портрет типового резидента'!$E$38*Налогообложение!$E$19)</f>
        <v>54.6</v>
      </c>
      <c r="R14" s="145">
        <f>IF('Сравнение налоговой нагрузки'!R$5&lt;='Портрет типового резидента'!$E$10,0,'Портрет типового резидента'!$E$38*Налогообложение!$E$19)</f>
        <v>54.6</v>
      </c>
      <c r="S14" s="145">
        <f>IF('Сравнение налоговой нагрузки'!S$5&lt;='Портрет типового резидента'!$E$10,0,'Портрет типового резидента'!$E$38*Налогообложение!$E$19)</f>
        <v>54.6</v>
      </c>
      <c r="T14" s="145">
        <f>IF('Сравнение налоговой нагрузки'!T$5&lt;='Портрет типового резидента'!$E$10,0,'Портрет типового резидента'!$E$38*Налогообложение!$E$19)</f>
        <v>54.6</v>
      </c>
      <c r="U14" s="145">
        <f>IF('Сравнение налоговой нагрузки'!U$5&lt;='Портрет типового резидента'!$E$10,0,'Портрет типового резидента'!$E$38*Налогообложение!$E$19)</f>
        <v>54.6</v>
      </c>
      <c r="V14" s="145">
        <f>IF('Сравнение налоговой нагрузки'!V$5&lt;='Портрет типового резидента'!$E$10,0,'Портрет типового резидента'!$E$38*Налогообложение!$E$19)</f>
        <v>54.6</v>
      </c>
      <c r="W14" s="145">
        <f>IF('Сравнение налоговой нагрузки'!W$5&lt;='Портрет типового резидента'!$E$10,0,'Портрет типового резидента'!$E$38*Налогообложение!$E$19)</f>
        <v>54.6</v>
      </c>
    </row>
    <row r="15" spans="1:130" s="11" customFormat="1" outlineLevel="1" x14ac:dyDescent="0.25">
      <c r="B15" s="11" t="s">
        <v>130</v>
      </c>
      <c r="C15" s="65">
        <f t="shared" si="4"/>
        <v>2206.25</v>
      </c>
      <c r="D15" s="72">
        <f>D16+D17</f>
        <v>203.125</v>
      </c>
      <c r="E15" s="72">
        <f t="shared" ref="E15:W15" si="5">E16+E17</f>
        <v>203.125</v>
      </c>
      <c r="F15" s="72">
        <f t="shared" si="5"/>
        <v>100</v>
      </c>
      <c r="G15" s="72">
        <f t="shared" si="5"/>
        <v>100</v>
      </c>
      <c r="H15" s="72">
        <f t="shared" si="5"/>
        <v>100</v>
      </c>
      <c r="I15" s="72">
        <f t="shared" si="5"/>
        <v>100</v>
      </c>
      <c r="J15" s="72">
        <f t="shared" si="5"/>
        <v>100</v>
      </c>
      <c r="K15" s="72">
        <f t="shared" si="5"/>
        <v>100</v>
      </c>
      <c r="L15" s="72">
        <f t="shared" si="5"/>
        <v>100</v>
      </c>
      <c r="M15" s="72">
        <f t="shared" si="5"/>
        <v>100</v>
      </c>
      <c r="N15" s="72">
        <f t="shared" si="5"/>
        <v>100</v>
      </c>
      <c r="O15" s="72">
        <f t="shared" si="5"/>
        <v>100</v>
      </c>
      <c r="P15" s="72">
        <f t="shared" si="5"/>
        <v>100</v>
      </c>
      <c r="Q15" s="72">
        <f t="shared" si="5"/>
        <v>100</v>
      </c>
      <c r="R15" s="72">
        <f t="shared" si="5"/>
        <v>100</v>
      </c>
      <c r="S15" s="72">
        <f t="shared" si="5"/>
        <v>100</v>
      </c>
      <c r="T15" s="72">
        <f t="shared" si="5"/>
        <v>100</v>
      </c>
      <c r="U15" s="72">
        <f t="shared" si="5"/>
        <v>100</v>
      </c>
      <c r="V15" s="72">
        <f t="shared" si="5"/>
        <v>100</v>
      </c>
      <c r="W15" s="72">
        <f t="shared" si="5"/>
        <v>100</v>
      </c>
    </row>
    <row r="16" spans="1:130" s="15" customFormat="1" outlineLevel="1" x14ac:dyDescent="0.25">
      <c r="B16" s="15" t="s">
        <v>127</v>
      </c>
      <c r="C16" s="66">
        <f>SUM(D16:W16)</f>
        <v>1800</v>
      </c>
      <c r="D16" s="142">
        <f>IF('Сравнение налоговой нагрузки'!D$5&lt;='Портрет типового резидента'!$E$10,0,'Портрет типового резидента'!$E$50)</f>
        <v>0</v>
      </c>
      <c r="E16" s="142">
        <f>IF('Сравнение налоговой нагрузки'!E$5&lt;='Портрет типового резидента'!$E$10,0,'Портрет типового резидента'!$E$50)</f>
        <v>0</v>
      </c>
      <c r="F16" s="142">
        <f>IF('Сравнение налоговой нагрузки'!F$5&lt;='Портрет типового резидента'!$E$10,0,'Портрет типового резидента'!$E$50)</f>
        <v>100</v>
      </c>
      <c r="G16" s="142">
        <f>IF('Сравнение налоговой нагрузки'!G$5&lt;='Портрет типового резидента'!$E$10,0,'Портрет типового резидента'!$E$50)</f>
        <v>100</v>
      </c>
      <c r="H16" s="142">
        <f>IF('Сравнение налоговой нагрузки'!H$5&lt;='Портрет типового резидента'!$E$10,0,'Портрет типового резидента'!$E$50)</f>
        <v>100</v>
      </c>
      <c r="I16" s="142">
        <f>IF('Сравнение налоговой нагрузки'!I$5&lt;='Портрет типового резидента'!$E$10,0,'Портрет типового резидента'!$E$50)</f>
        <v>100</v>
      </c>
      <c r="J16" s="142">
        <f>IF('Сравнение налоговой нагрузки'!J$5&lt;='Портрет типового резидента'!$E$10,0,'Портрет типового резидента'!$E$50)</f>
        <v>100</v>
      </c>
      <c r="K16" s="142">
        <f>IF('Сравнение налоговой нагрузки'!K$5&lt;='Портрет типового резидента'!$E$10,0,'Портрет типового резидента'!$E$50)</f>
        <v>100</v>
      </c>
      <c r="L16" s="142">
        <f>IF('Сравнение налоговой нагрузки'!L$5&lt;='Портрет типового резидента'!$E$10,0,'Портрет типового резидента'!$E$50)</f>
        <v>100</v>
      </c>
      <c r="M16" s="142">
        <f>IF('Сравнение налоговой нагрузки'!M$5&lt;='Портрет типового резидента'!$E$10,0,'Портрет типового резидента'!$E$50)</f>
        <v>100</v>
      </c>
      <c r="N16" s="142">
        <f>IF('Сравнение налоговой нагрузки'!N$5&lt;='Портрет типового резидента'!$E$10,0,'Портрет типового резидента'!$E$50)</f>
        <v>100</v>
      </c>
      <c r="O16" s="142">
        <f>IF('Сравнение налоговой нагрузки'!O$5&lt;='Портрет типового резидента'!$E$10,0,'Портрет типового резидента'!$E$50)</f>
        <v>100</v>
      </c>
      <c r="P16" s="142">
        <f>IF('Сравнение налоговой нагрузки'!P$5&lt;='Портрет типового резидента'!$E$10,0,'Портрет типового резидента'!$E$50)</f>
        <v>100</v>
      </c>
      <c r="Q16" s="142">
        <f>IF('Сравнение налоговой нагрузки'!Q$5&lt;='Портрет типового резидента'!$E$10,0,'Портрет типового резидента'!$E$50)</f>
        <v>100</v>
      </c>
      <c r="R16" s="142">
        <f>IF('Сравнение налоговой нагрузки'!R$5&lt;='Портрет типового резидента'!$E$10,0,'Портрет типового резидента'!$E$50)</f>
        <v>100</v>
      </c>
      <c r="S16" s="142">
        <f>IF('Сравнение налоговой нагрузки'!S$5&lt;='Портрет типового резидента'!$E$10,0,'Портрет типового резидента'!$E$50)</f>
        <v>100</v>
      </c>
      <c r="T16" s="142">
        <f>IF('Сравнение налоговой нагрузки'!T$5&lt;='Портрет типового резидента'!$E$10,0,'Портрет типового резидента'!$E$50)</f>
        <v>100</v>
      </c>
      <c r="U16" s="142">
        <f>IF('Сравнение налоговой нагрузки'!U$5&lt;='Портрет типового резидента'!$E$10,0,'Портрет типового резидента'!$E$50)</f>
        <v>100</v>
      </c>
      <c r="V16" s="142">
        <f>IF('Сравнение налоговой нагрузки'!V$5&lt;='Портрет типового резидента'!$E$10,0,'Портрет типового резидента'!$E$50)</f>
        <v>100</v>
      </c>
      <c r="W16" s="142">
        <f>IF('Сравнение налоговой нагрузки'!W$5&lt;='Портрет типового резидента'!$E$10,0,'Портрет типового резидента'!$E$50)</f>
        <v>100</v>
      </c>
    </row>
    <row r="17" spans="1:130" s="15" customFormat="1" outlineLevel="1" x14ac:dyDescent="0.25">
      <c r="B17" s="69" t="s">
        <v>128</v>
      </c>
      <c r="C17" s="67">
        <f>SUM(D17:W17)</f>
        <v>406.25</v>
      </c>
      <c r="D17" s="147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17" s="147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17" s="147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17" s="147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17" s="147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17" s="147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17" s="147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17" s="147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17" s="147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17" s="147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17" s="147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17" s="147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17" s="147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17" s="147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17" s="147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17" s="147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17" s="147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17" s="147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17" s="147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17" s="147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</row>
    <row r="18" spans="1:130" s="1" customFormat="1" x14ac:dyDescent="0.25">
      <c r="B18" s="2"/>
      <c r="C18" s="68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130" x14ac:dyDescent="0.25">
      <c r="B19" s="204" t="str">
        <f>'Критерии реализации проектов'!B8</f>
        <v>Свободная экономическая зона</v>
      </c>
      <c r="C19" s="202">
        <f>SUM(D19:W19)</f>
        <v>10534.694599606049</v>
      </c>
      <c r="D19" s="203">
        <f>D20+D23+D24+D25+D26+D27+D28</f>
        <v>473.95833333333331</v>
      </c>
      <c r="E19" s="203">
        <f t="shared" ref="E19:W19" si="6">E20+E23+E24+E25+E26+E27+E28</f>
        <v>473.95833333333331</v>
      </c>
      <c r="F19" s="203">
        <f t="shared" si="6"/>
        <v>532.59877405218776</v>
      </c>
      <c r="G19" s="203">
        <f t="shared" si="6"/>
        <v>532.59877405218776</v>
      </c>
      <c r="H19" s="203">
        <f t="shared" si="6"/>
        <v>532.59877405218776</v>
      </c>
      <c r="I19" s="203">
        <f t="shared" si="6"/>
        <v>532.59877405218776</v>
      </c>
      <c r="J19" s="203">
        <f t="shared" si="6"/>
        <v>532.59877405218776</v>
      </c>
      <c r="K19" s="203">
        <f t="shared" si="6"/>
        <v>532.59877405218776</v>
      </c>
      <c r="L19" s="203">
        <f t="shared" si="6"/>
        <v>532.59877405218776</v>
      </c>
      <c r="M19" s="203">
        <f t="shared" si="6"/>
        <v>532.59877405218776</v>
      </c>
      <c r="N19" s="203">
        <f t="shared" si="6"/>
        <v>532.59877405218776</v>
      </c>
      <c r="O19" s="203">
        <f t="shared" si="6"/>
        <v>532.59877405218776</v>
      </c>
      <c r="P19" s="203">
        <f t="shared" si="6"/>
        <v>532.59877405218776</v>
      </c>
      <c r="Q19" s="203">
        <f t="shared" si="6"/>
        <v>532.59877405218776</v>
      </c>
      <c r="R19" s="203">
        <f t="shared" si="6"/>
        <v>532.59877405218776</v>
      </c>
      <c r="S19" s="203">
        <f t="shared" si="6"/>
        <v>532.59877405218776</v>
      </c>
      <c r="T19" s="203">
        <f t="shared" si="6"/>
        <v>532.59877405218776</v>
      </c>
      <c r="U19" s="203">
        <f t="shared" si="6"/>
        <v>532.59877405218776</v>
      </c>
      <c r="V19" s="203">
        <f t="shared" si="6"/>
        <v>532.59877405218776</v>
      </c>
      <c r="W19" s="203">
        <f t="shared" si="6"/>
        <v>532.59877405218776</v>
      </c>
    </row>
    <row r="20" spans="1:130" s="64" customFormat="1" outlineLevel="1" x14ac:dyDescent="0.25">
      <c r="A20" s="11"/>
      <c r="B20" s="11" t="s">
        <v>120</v>
      </c>
      <c r="C20" s="65">
        <f t="shared" ref="C20:C30" si="7">SUM(D20:W20)</f>
        <v>3421.6666666666665</v>
      </c>
      <c r="D20" s="72">
        <f>D21+D22</f>
        <v>270.83333333333331</v>
      </c>
      <c r="E20" s="72">
        <f t="shared" ref="E20:W20" si="8">E21+E22</f>
        <v>270.83333333333331</v>
      </c>
      <c r="F20" s="72">
        <f t="shared" si="8"/>
        <v>160</v>
      </c>
      <c r="G20" s="72">
        <f t="shared" si="8"/>
        <v>160</v>
      </c>
      <c r="H20" s="72">
        <f t="shared" si="8"/>
        <v>160</v>
      </c>
      <c r="I20" s="72">
        <f t="shared" si="8"/>
        <v>160</v>
      </c>
      <c r="J20" s="72">
        <f t="shared" si="8"/>
        <v>160</v>
      </c>
      <c r="K20" s="72">
        <f t="shared" si="8"/>
        <v>160</v>
      </c>
      <c r="L20" s="72">
        <f t="shared" si="8"/>
        <v>160</v>
      </c>
      <c r="M20" s="72">
        <f t="shared" si="8"/>
        <v>160</v>
      </c>
      <c r="N20" s="72">
        <f t="shared" si="8"/>
        <v>160</v>
      </c>
      <c r="O20" s="72">
        <f t="shared" si="8"/>
        <v>160</v>
      </c>
      <c r="P20" s="72">
        <f t="shared" si="8"/>
        <v>160</v>
      </c>
      <c r="Q20" s="72">
        <f t="shared" si="8"/>
        <v>160</v>
      </c>
      <c r="R20" s="72">
        <f t="shared" si="8"/>
        <v>160</v>
      </c>
      <c r="S20" s="72">
        <f t="shared" si="8"/>
        <v>160</v>
      </c>
      <c r="T20" s="72">
        <f t="shared" si="8"/>
        <v>160</v>
      </c>
      <c r="U20" s="72">
        <f t="shared" si="8"/>
        <v>160</v>
      </c>
      <c r="V20" s="72">
        <f t="shared" si="8"/>
        <v>160</v>
      </c>
      <c r="W20" s="72">
        <f t="shared" si="8"/>
        <v>160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</row>
    <row r="21" spans="1:130" s="63" customFormat="1" outlineLevel="1" x14ac:dyDescent="0.25">
      <c r="A21" s="15"/>
      <c r="B21" s="15" t="s">
        <v>125</v>
      </c>
      <c r="C21" s="66">
        <f t="shared" si="7"/>
        <v>2880</v>
      </c>
      <c r="D21" s="142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21" s="142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21" s="142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21" s="142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21" s="142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21" s="142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21" s="142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21" s="142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21" s="142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21" s="142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21" s="142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21" s="142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21" s="142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21" s="142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21" s="142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21" s="142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21" s="142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21" s="142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21" s="142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21" s="142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</row>
    <row r="22" spans="1:130" s="63" customFormat="1" outlineLevel="1" x14ac:dyDescent="0.25">
      <c r="A22" s="15"/>
      <c r="B22" s="15" t="s">
        <v>126</v>
      </c>
      <c r="C22" s="66">
        <f t="shared" si="7"/>
        <v>541.66666666666663</v>
      </c>
      <c r="D22" s="142">
        <f>IF('Сравнение налоговой нагрузки'!D$5&lt;='Портрет типового резидента'!$E$10,'Портрет типового резидента'!$E$24*20/120/'Портрет типового резидента'!$E$10,0)</f>
        <v>270.83333333333331</v>
      </c>
      <c r="E22" s="142">
        <f>IF('Сравнение налоговой нагрузки'!E$5&lt;='Портрет типового резидента'!$E$10,'Портрет типового резидента'!$E$24*20/120/'Портрет типового резидента'!$E$10,0)</f>
        <v>270.83333333333331</v>
      </c>
      <c r="F22" s="142">
        <f>IF('Сравнение налоговой нагрузки'!F$5&lt;='Портрет типового резидента'!$E$10,'Портрет типового резидента'!$E$24*20/120/'Портрет типового резидента'!$E$10,0)</f>
        <v>0</v>
      </c>
      <c r="G22" s="142">
        <f>IF('Сравнение налоговой нагрузки'!G$5&lt;='Портрет типового резидента'!$E$10,'Портрет типового резидента'!$E$24*20/120/'Портрет типового резидента'!$E$10,0)</f>
        <v>0</v>
      </c>
      <c r="H22" s="142">
        <f>IF('Сравнение налоговой нагрузки'!H$5&lt;='Портрет типового резидента'!$E$10,'Портрет типового резидента'!$E$24*20/120/'Портрет типового резидента'!$E$10,0)</f>
        <v>0</v>
      </c>
      <c r="I22" s="142">
        <f>IF('Сравнение налоговой нагрузки'!I$5&lt;='Портрет типового резидента'!$E$10,'Портрет типового резидента'!$E$24*20/120/'Портрет типового резидента'!$E$10,0)</f>
        <v>0</v>
      </c>
      <c r="J22" s="142">
        <f>IF('Сравнение налоговой нагрузки'!J$5&lt;='Портрет типового резидента'!$E$10,'Портрет типового резидента'!$E$24*20/120/'Портрет типового резидента'!$E$10,0)</f>
        <v>0</v>
      </c>
      <c r="K22" s="142">
        <f>IF('Сравнение налоговой нагрузки'!K$5&lt;='Портрет типового резидента'!$E$10,'Портрет типового резидента'!$E$24*20/120/'Портрет типового резидента'!$E$10,0)</f>
        <v>0</v>
      </c>
      <c r="L22" s="142">
        <f>IF('Сравнение налоговой нагрузки'!L$5&lt;='Портрет типового резидента'!$E$10,'Портрет типового резидента'!$E$24*20/120/'Портрет типового резидента'!$E$10,0)</f>
        <v>0</v>
      </c>
      <c r="M22" s="142">
        <f>IF('Сравнение налоговой нагрузки'!M$5&lt;='Портрет типового резидента'!$E$10,'Портрет типового резидента'!$E$24*20/120/'Портрет типового резидента'!$E$10,0)</f>
        <v>0</v>
      </c>
      <c r="N22" s="142">
        <f>IF('Сравнение налоговой нагрузки'!N$5&lt;='Портрет типового резидента'!$E$10,'Портрет типового резидента'!$E$24*20/120/'Портрет типового резидента'!$E$10,0)</f>
        <v>0</v>
      </c>
      <c r="O22" s="142">
        <f>IF('Сравнение налоговой нагрузки'!O$5&lt;='Портрет типового резидента'!$E$10,'Портрет типового резидента'!$E$24*20/120/'Портрет типового резидента'!$E$10,0)</f>
        <v>0</v>
      </c>
      <c r="P22" s="142">
        <f>IF('Сравнение налоговой нагрузки'!P$5&lt;='Портрет типового резидента'!$E$10,'Портрет типового резидента'!$E$24*20/120/'Портрет типового резидента'!$E$10,0)</f>
        <v>0</v>
      </c>
      <c r="Q22" s="142">
        <f>IF('Сравнение налоговой нагрузки'!Q$5&lt;='Портрет типового резидента'!$E$10,'Портрет типового резидента'!$E$24*20/120/'Портрет типового резидента'!$E$10,0)</f>
        <v>0</v>
      </c>
      <c r="R22" s="142">
        <f>IF('Сравнение налоговой нагрузки'!R$5&lt;='Портрет типового резидента'!$E$10,'Портрет типового резидента'!$E$24*20/120/'Портрет типового резидента'!$E$10,0)</f>
        <v>0</v>
      </c>
      <c r="S22" s="142">
        <f>IF('Сравнение налоговой нагрузки'!S$5&lt;='Портрет типового резидента'!$E$10,'Портрет типового резидента'!$E$24*20/120/'Портрет типового резидента'!$E$10,0)</f>
        <v>0</v>
      </c>
      <c r="T22" s="142">
        <f>IF('Сравнение налоговой нагрузки'!T$5&lt;='Портрет типового резидента'!$E$10,'Портрет типового резидента'!$E$24*20/120/'Портрет типового резидента'!$E$10,0)</f>
        <v>0</v>
      </c>
      <c r="U22" s="142">
        <f>IF('Сравнение налоговой нагрузки'!U$5&lt;='Портрет типового резидента'!$E$10,'Портрет типового резидента'!$E$24*20/120/'Портрет типового резидента'!$E$10,0)</f>
        <v>0</v>
      </c>
      <c r="V22" s="142">
        <f>IF('Сравнение налоговой нагрузки'!V$5&lt;='Портрет типового резидента'!$E$10,'Портрет типового резидента'!$E$24*20/120/'Портрет типового резидента'!$E$10,0)</f>
        <v>0</v>
      </c>
      <c r="W22" s="142">
        <f>IF('Сравнение налоговой нагрузки'!W$5&lt;='Портрет типового резидента'!$E$10,'Портрет типового резидента'!$E$24*20/120/'Портрет типового резидента'!$E$10,0)</f>
        <v>0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</row>
    <row r="23" spans="1:130" s="64" customFormat="1" outlineLevel="1" x14ac:dyDescent="0.25">
      <c r="A23" s="11"/>
      <c r="B23" s="11" t="s">
        <v>121</v>
      </c>
      <c r="C23" s="65">
        <f t="shared" si="7"/>
        <v>1713.5779329393793</v>
      </c>
      <c r="D23" s="145">
        <f>IF('Сравнение налоговой нагрузки'!D$5&lt;='Портрет типового резидента'!$E$10,0,'Портрет типового резидента'!$E$62/'Портрет типового резидента'!$E$26*'Портрет типового резидента'!$E$28)</f>
        <v>0</v>
      </c>
      <c r="E23" s="145">
        <f>IF('Сравнение налоговой нагрузки'!E$5&lt;='Портрет типового резидента'!$E$10,0,'Портрет типового резидента'!$E$62/'Портрет типового резидента'!$E$26*'Портрет типового резидента'!$E$28)</f>
        <v>0</v>
      </c>
      <c r="F23" s="145">
        <f>IF('Сравнение налоговой нагрузки'!F$5&lt;='Портрет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G23" s="145">
        <f>IF('Сравнение налоговой нагрузки'!G$5&lt;='Портрет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H23" s="145">
        <f>IF('Сравнение налоговой нагрузки'!H$5&lt;='Портрет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I23" s="145">
        <f>IF('Сравнение налоговой нагрузки'!I$5&lt;='Портрет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J23" s="145">
        <f>IF('Сравнение налоговой нагрузки'!J$5&lt;='Портрет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K23" s="145">
        <f>IF('Сравнение налоговой нагрузки'!K$5&lt;='Портрет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L23" s="145">
        <f>IF('Сравнение налоговой нагрузки'!L$5&lt;='Портрет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M23" s="145">
        <f>IF('Сравнение налоговой нагрузки'!M$5&lt;='Портрет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N23" s="145">
        <f>IF('Сравнение налоговой нагрузки'!N$5&lt;='Портрет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O23" s="145">
        <f>IF('Сравнение налоговой нагрузки'!O$5&lt;='Портрет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P23" s="145">
        <f>IF('Сравнение налоговой нагрузки'!P$5&lt;='Портрет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Q23" s="145">
        <f>IF('Сравнение налоговой нагрузки'!Q$5&lt;='Портрет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R23" s="145">
        <f>IF('Сравнение налоговой нагрузки'!R$5&lt;='Портрет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S23" s="145">
        <f>IF('Сравнение налоговой нагрузки'!S$5&lt;='Портрет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T23" s="145">
        <f>IF('Сравнение налоговой нагрузки'!T$5&lt;='Портрет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U23" s="145">
        <f>IF('Сравнение налоговой нагрузки'!U$5&lt;='Портрет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V23" s="145">
        <f>IF('Сравнение налоговой нагрузки'!V$5&lt;='Портрет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W23" s="145">
        <f>IF('Сравнение налоговой нагрузки'!W$5&lt;='Портрет типового резидента'!$E$10,0,'Портрет типового резидента'!$E$62/'Портрет типового резидента'!$E$26*'Портрет типового резидента'!$E$28)</f>
        <v>95.198774052187773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</row>
    <row r="24" spans="1:130" s="64" customFormat="1" outlineLevel="1" x14ac:dyDescent="0.25">
      <c r="A24" s="11"/>
      <c r="B24" s="11" t="s">
        <v>122</v>
      </c>
      <c r="C24" s="65">
        <f t="shared" si="7"/>
        <v>0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</row>
    <row r="25" spans="1:130" s="64" customFormat="1" outlineLevel="1" x14ac:dyDescent="0.25">
      <c r="A25" s="11"/>
      <c r="B25" s="11" t="s">
        <v>129</v>
      </c>
      <c r="C25" s="65">
        <f t="shared" si="7"/>
        <v>0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</row>
    <row r="26" spans="1:130" s="64" customFormat="1" outlineLevel="1" x14ac:dyDescent="0.25">
      <c r="A26" s="11"/>
      <c r="B26" s="11" t="s">
        <v>123</v>
      </c>
      <c r="C26" s="65">
        <f t="shared" si="7"/>
        <v>2570.4</v>
      </c>
      <c r="D26" s="145">
        <f>IF('Сравнение налоговой нагрузки'!D$5&lt;='Портрет типового резидента'!$E$10,0,'Портрет типового резидента'!$E$41)</f>
        <v>0</v>
      </c>
      <c r="E26" s="145">
        <f>IF('Сравнение налоговой нагрузки'!E$5&lt;='Портрет типового резидента'!$E$10,0,'Портрет типового резидента'!$E$41)</f>
        <v>0</v>
      </c>
      <c r="F26" s="145">
        <f>IF('Сравнение налоговой нагрузки'!F$5&lt;='Портрет типового резидента'!$E$10,0,'Портрет типового резидента'!$E$41)</f>
        <v>142.80000000000001</v>
      </c>
      <c r="G26" s="145">
        <f>IF('Сравнение налоговой нагрузки'!G$5&lt;='Портрет типового резидента'!$E$10,0,'Портрет типового резидента'!$E$41)</f>
        <v>142.80000000000001</v>
      </c>
      <c r="H26" s="145">
        <f>IF('Сравнение налоговой нагрузки'!H$5&lt;='Портрет типового резидента'!$E$10,0,'Портрет типового резидента'!$E$41)</f>
        <v>142.80000000000001</v>
      </c>
      <c r="I26" s="145">
        <f>IF('Сравнение налоговой нагрузки'!I$5&lt;='Портрет типового резидента'!$E$10,0,'Портрет типового резидента'!$E$41)</f>
        <v>142.80000000000001</v>
      </c>
      <c r="J26" s="145">
        <f>IF('Сравнение налоговой нагрузки'!J$5&lt;='Портрет типового резидента'!$E$10,0,'Портрет типового резидента'!$E$41)</f>
        <v>142.80000000000001</v>
      </c>
      <c r="K26" s="145">
        <f>IF('Сравнение налоговой нагрузки'!K$5&lt;='Портрет типового резидента'!$E$10,0,'Портрет типового резидента'!$E$41)</f>
        <v>142.80000000000001</v>
      </c>
      <c r="L26" s="145">
        <f>IF('Сравнение налоговой нагрузки'!L$5&lt;='Портрет типового резидента'!$E$10,0,'Портрет типового резидента'!$E$41)</f>
        <v>142.80000000000001</v>
      </c>
      <c r="M26" s="145">
        <f>IF('Сравнение налоговой нагрузки'!M$5&lt;='Портрет типового резидента'!$E$10,0,'Портрет типового резидента'!$E$41)</f>
        <v>142.80000000000001</v>
      </c>
      <c r="N26" s="145">
        <f>IF('Сравнение налоговой нагрузки'!N$5&lt;='Портрет типового резидента'!$E$10,0,'Портрет типового резидента'!$E$41)</f>
        <v>142.80000000000001</v>
      </c>
      <c r="O26" s="145">
        <f>IF('Сравнение налоговой нагрузки'!O$5&lt;='Портрет типового резидента'!$E$10,0,'Портрет типового резидента'!$E$41)</f>
        <v>142.80000000000001</v>
      </c>
      <c r="P26" s="145">
        <f>IF('Сравнение налоговой нагрузки'!P$5&lt;='Портрет типового резидента'!$E$10,0,'Портрет типового резидента'!$E$41)</f>
        <v>142.80000000000001</v>
      </c>
      <c r="Q26" s="145">
        <f>IF('Сравнение налоговой нагрузки'!Q$5&lt;='Портрет типового резидента'!$E$10,0,'Портрет типового резидента'!$E$41)</f>
        <v>142.80000000000001</v>
      </c>
      <c r="R26" s="145">
        <f>IF('Сравнение налоговой нагрузки'!R$5&lt;='Портрет типового резидента'!$E$10,0,'Портрет типового резидента'!$E$41)</f>
        <v>142.80000000000001</v>
      </c>
      <c r="S26" s="145">
        <f>IF('Сравнение налоговой нагрузки'!S$5&lt;='Портрет типового резидента'!$E$10,0,'Портрет типового резидента'!$E$41)</f>
        <v>142.80000000000001</v>
      </c>
      <c r="T26" s="145">
        <f>IF('Сравнение налоговой нагрузки'!T$5&lt;='Портрет типового резидента'!$E$10,0,'Портрет типового резидента'!$E$41)</f>
        <v>142.80000000000001</v>
      </c>
      <c r="U26" s="145">
        <f>IF('Сравнение налоговой нагрузки'!U$5&lt;='Портрет типового резидента'!$E$10,0,'Портрет типового резидента'!$E$41)</f>
        <v>142.80000000000001</v>
      </c>
      <c r="V26" s="145">
        <f>IF('Сравнение налоговой нагрузки'!V$5&lt;='Портрет типового резидента'!$E$10,0,'Портрет типового резидента'!$E$41)</f>
        <v>142.80000000000001</v>
      </c>
      <c r="W26" s="145">
        <f>IF('Сравнение налоговой нагрузки'!W$5&lt;='Портрет типового резидента'!$E$10,0,'Портрет типового резидента'!$E$41)</f>
        <v>142.80000000000001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</row>
    <row r="27" spans="1:130" s="64" customFormat="1" outlineLevel="1" x14ac:dyDescent="0.25">
      <c r="A27" s="11"/>
      <c r="B27" s="11" t="s">
        <v>124</v>
      </c>
      <c r="C27" s="65">
        <f t="shared" si="7"/>
        <v>982.8000000000003</v>
      </c>
      <c r="D27" s="145">
        <f>IF('Сравнение налоговой нагрузки'!D$5&lt;='Портрет типового резидента'!$E$10,0,'Портрет типового резидента'!$E$38*Налогообложение!$E$19)</f>
        <v>0</v>
      </c>
      <c r="E27" s="145">
        <f>IF('Сравнение налоговой нагрузки'!E$5&lt;='Портрет типового резидента'!$E$10,0,'Портрет типового резидента'!$E$38*Налогообложение!$E$19)</f>
        <v>0</v>
      </c>
      <c r="F27" s="145">
        <f>IF('Сравнение налоговой нагрузки'!F$5&lt;='Портрет типового резидента'!$E$10,0,'Портрет типового резидента'!$E$38*Налогообложение!$E$19)</f>
        <v>54.6</v>
      </c>
      <c r="G27" s="145">
        <f>IF('Сравнение налоговой нагрузки'!G$5&lt;='Портрет типового резидента'!$E$10,0,'Портрет типового резидента'!$E$38*Налогообложение!$E$19)</f>
        <v>54.6</v>
      </c>
      <c r="H27" s="145">
        <f>IF('Сравнение налоговой нагрузки'!H$5&lt;='Портрет типового резидента'!$E$10,0,'Портрет типового резидента'!$E$38*Налогообложение!$E$19)</f>
        <v>54.6</v>
      </c>
      <c r="I27" s="145">
        <f>IF('Сравнение налоговой нагрузки'!I$5&lt;='Портрет типового резидента'!$E$10,0,'Портрет типового резидента'!$E$38*Налогообложение!$E$19)</f>
        <v>54.6</v>
      </c>
      <c r="J27" s="145">
        <f>IF('Сравнение налоговой нагрузки'!J$5&lt;='Портрет типового резидента'!$E$10,0,'Портрет типового резидента'!$E$38*Налогообложение!$E$19)</f>
        <v>54.6</v>
      </c>
      <c r="K27" s="145">
        <f>IF('Сравнение налоговой нагрузки'!K$5&lt;='Портрет типового резидента'!$E$10,0,'Портрет типового резидента'!$E$38*Налогообложение!$E$19)</f>
        <v>54.6</v>
      </c>
      <c r="L27" s="145">
        <f>IF('Сравнение налоговой нагрузки'!L$5&lt;='Портрет типового резидента'!$E$10,0,'Портрет типового резидента'!$E$38*Налогообложение!$E$19)</f>
        <v>54.6</v>
      </c>
      <c r="M27" s="145">
        <f>IF('Сравнение налоговой нагрузки'!M$5&lt;='Портрет типового резидента'!$E$10,0,'Портрет типового резидента'!$E$38*Налогообложение!$E$19)</f>
        <v>54.6</v>
      </c>
      <c r="N27" s="145">
        <f>IF('Сравнение налоговой нагрузки'!N$5&lt;='Портрет типового резидента'!$E$10,0,'Портрет типового резидента'!$E$38*Налогообложение!$E$19)</f>
        <v>54.6</v>
      </c>
      <c r="O27" s="145">
        <f>IF('Сравнение налоговой нагрузки'!O$5&lt;='Портрет типового резидента'!$E$10,0,'Портрет типового резидента'!$E$38*Налогообложение!$E$19)</f>
        <v>54.6</v>
      </c>
      <c r="P27" s="145">
        <f>IF('Сравнение налоговой нагрузки'!P$5&lt;='Портрет типового резидента'!$E$10,0,'Портрет типового резидента'!$E$38*Налогообложение!$E$19)</f>
        <v>54.6</v>
      </c>
      <c r="Q27" s="145">
        <f>IF('Сравнение налоговой нагрузки'!Q$5&lt;='Портрет типового резидента'!$E$10,0,'Портрет типового резидента'!$E$38*Налогообложение!$E$19)</f>
        <v>54.6</v>
      </c>
      <c r="R27" s="145">
        <f>IF('Сравнение налоговой нагрузки'!R$5&lt;='Портрет типового резидента'!$E$10,0,'Портрет типового резидента'!$E$38*Налогообложение!$E$19)</f>
        <v>54.6</v>
      </c>
      <c r="S27" s="145">
        <f>IF('Сравнение налоговой нагрузки'!S$5&lt;='Портрет типового резидента'!$E$10,0,'Портрет типового резидента'!$E$38*Налогообложение!$E$19)</f>
        <v>54.6</v>
      </c>
      <c r="T27" s="145">
        <f>IF('Сравнение налоговой нагрузки'!T$5&lt;='Портрет типового резидента'!$E$10,0,'Портрет типового резидента'!$E$38*Налогообложение!$E$19)</f>
        <v>54.6</v>
      </c>
      <c r="U27" s="145">
        <f>IF('Сравнение налоговой нагрузки'!U$5&lt;='Портрет типового резидента'!$E$10,0,'Портрет типового резидента'!$E$38*Налогообложение!$E$19)</f>
        <v>54.6</v>
      </c>
      <c r="V27" s="145">
        <f>IF('Сравнение налоговой нагрузки'!V$5&lt;='Портрет типового резидента'!$E$10,0,'Портрет типового резидента'!$E$38*Налогообложение!$E$19)</f>
        <v>54.6</v>
      </c>
      <c r="W27" s="145">
        <f>IF('Сравнение налоговой нагрузки'!W$5&lt;='Портрет типового резидента'!$E$10,0,'Портрет типового резидента'!$E$38*Налогообложение!$E$19)</f>
        <v>54.6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</row>
    <row r="28" spans="1:130" s="64" customFormat="1" outlineLevel="1" x14ac:dyDescent="0.25">
      <c r="A28" s="11"/>
      <c r="B28" s="11" t="s">
        <v>130</v>
      </c>
      <c r="C28" s="65">
        <f t="shared" si="7"/>
        <v>1846.25</v>
      </c>
      <c r="D28" s="72">
        <f>D29+D30</f>
        <v>203.125</v>
      </c>
      <c r="E28" s="72">
        <f t="shared" ref="E28:W28" si="9">E29+E30</f>
        <v>203.125</v>
      </c>
      <c r="F28" s="72">
        <f t="shared" si="9"/>
        <v>80</v>
      </c>
      <c r="G28" s="72">
        <f t="shared" si="9"/>
        <v>80</v>
      </c>
      <c r="H28" s="72">
        <f t="shared" si="9"/>
        <v>80</v>
      </c>
      <c r="I28" s="72">
        <f t="shared" si="9"/>
        <v>80</v>
      </c>
      <c r="J28" s="72">
        <f t="shared" si="9"/>
        <v>80</v>
      </c>
      <c r="K28" s="72">
        <f t="shared" si="9"/>
        <v>80</v>
      </c>
      <c r="L28" s="72">
        <f t="shared" si="9"/>
        <v>80</v>
      </c>
      <c r="M28" s="72">
        <f t="shared" si="9"/>
        <v>80</v>
      </c>
      <c r="N28" s="72">
        <f t="shared" si="9"/>
        <v>80</v>
      </c>
      <c r="O28" s="72">
        <f t="shared" si="9"/>
        <v>80</v>
      </c>
      <c r="P28" s="72">
        <f t="shared" si="9"/>
        <v>80</v>
      </c>
      <c r="Q28" s="72">
        <f t="shared" si="9"/>
        <v>80</v>
      </c>
      <c r="R28" s="72">
        <f t="shared" si="9"/>
        <v>80</v>
      </c>
      <c r="S28" s="72">
        <f t="shared" si="9"/>
        <v>80</v>
      </c>
      <c r="T28" s="72">
        <f t="shared" si="9"/>
        <v>80</v>
      </c>
      <c r="U28" s="72">
        <f t="shared" si="9"/>
        <v>80</v>
      </c>
      <c r="V28" s="72">
        <f t="shared" si="9"/>
        <v>80</v>
      </c>
      <c r="W28" s="72">
        <f t="shared" si="9"/>
        <v>80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</row>
    <row r="29" spans="1:130" s="63" customFormat="1" outlineLevel="1" x14ac:dyDescent="0.25">
      <c r="A29" s="15"/>
      <c r="B29" s="15" t="s">
        <v>127</v>
      </c>
      <c r="C29" s="66">
        <f t="shared" si="7"/>
        <v>1440</v>
      </c>
      <c r="D29" s="142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29" s="142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29" s="142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29" s="142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29" s="142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29" s="142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29" s="142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29" s="142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29" s="142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29" s="142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29" s="142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29" s="142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29" s="142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29" s="142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29" s="142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29" s="142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29" s="142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29" s="142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29" s="142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29" s="142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</row>
    <row r="30" spans="1:130" s="63" customFormat="1" outlineLevel="1" x14ac:dyDescent="0.25">
      <c r="A30" s="15"/>
      <c r="B30" s="69" t="s">
        <v>128</v>
      </c>
      <c r="C30" s="67">
        <f t="shared" si="7"/>
        <v>406.25</v>
      </c>
      <c r="D30" s="147">
        <f>IF('Сравнение налоговой нагрузки'!D$5&lt;='Портрет типового резидента'!$E$10,'Портрет типового резидента'!$E$24/1.2*15%/'Портрет типового резидента'!$E$10,0)</f>
        <v>203.125</v>
      </c>
      <c r="E30" s="147">
        <f>IF('Сравнение налоговой нагрузки'!E$5&lt;='Портрет типового резидента'!$E$10,'Портрет типового резидента'!$E$24/1.2*15%/'Портрет типового резидента'!$E$10,0)</f>
        <v>203.125</v>
      </c>
      <c r="F30" s="147">
        <f>IF('Сравнение налоговой нагрузки'!F$5&lt;='Портрет типового резидента'!$E$10,'Портрет типового резидента'!$E$24/1.2*15%/'Портрет типового резидента'!$E$10,0)</f>
        <v>0</v>
      </c>
      <c r="G30" s="147">
        <f>IF('Сравнение налоговой нагрузки'!G$5&lt;='Портрет типового резидента'!$E$10,'Портрет типового резидента'!$E$24/1.2*15%/'Портрет типового резидента'!$E$10,0)</f>
        <v>0</v>
      </c>
      <c r="H30" s="147">
        <f>IF('Сравнение налоговой нагрузки'!H$5&lt;='Портрет типового резидента'!$E$10,'Портрет типового резидента'!$E$24/1.2*15%/'Портрет типового резидента'!$E$10,0)</f>
        <v>0</v>
      </c>
      <c r="I30" s="147">
        <f>IF('Сравнение налоговой нагрузки'!I$5&lt;='Портрет типового резидента'!$E$10,'Портрет типового резидента'!$E$24/1.2*15%/'Портрет типового резидента'!$E$10,0)</f>
        <v>0</v>
      </c>
      <c r="J30" s="147">
        <f>IF('Сравнение налоговой нагрузки'!J$5&lt;='Портрет типового резидента'!$E$10,'Портрет типового резидента'!$E$24/1.2*15%/'Портрет типового резидента'!$E$10,0)</f>
        <v>0</v>
      </c>
      <c r="K30" s="147">
        <f>IF('Сравнение налоговой нагрузки'!K$5&lt;='Портрет типового резидента'!$E$10,'Портрет типового резидента'!$E$24/1.2*15%/'Портрет типового резидента'!$E$10,0)</f>
        <v>0</v>
      </c>
      <c r="L30" s="147">
        <f>IF('Сравнение налоговой нагрузки'!L$5&lt;='Портрет типового резидента'!$E$10,'Портрет типового резидента'!$E$24/1.2*15%/'Портрет типового резидента'!$E$10,0)</f>
        <v>0</v>
      </c>
      <c r="M30" s="147">
        <f>IF('Сравнение налоговой нагрузки'!M$5&lt;='Портрет типового резидента'!$E$10,'Портрет типового резидента'!$E$24/1.2*15%/'Портрет типового резидента'!$E$10,0)</f>
        <v>0</v>
      </c>
      <c r="N30" s="147">
        <f>IF('Сравнение налоговой нагрузки'!N$5&lt;='Портрет типового резидента'!$E$10,'Портрет типового резидента'!$E$24/1.2*15%/'Портрет типового резидента'!$E$10,0)</f>
        <v>0</v>
      </c>
      <c r="O30" s="147">
        <f>IF('Сравнение налоговой нагрузки'!O$5&lt;='Портрет типового резидента'!$E$10,'Портрет типового резидента'!$E$24/1.2*15%/'Портрет типового резидента'!$E$10,0)</f>
        <v>0</v>
      </c>
      <c r="P30" s="147">
        <f>IF('Сравнение налоговой нагрузки'!P$5&lt;='Портрет типового резидента'!$E$10,'Портрет типового резидента'!$E$24/1.2*15%/'Портрет типового резидента'!$E$10,0)</f>
        <v>0</v>
      </c>
      <c r="Q30" s="147">
        <f>IF('Сравнение налоговой нагрузки'!Q$5&lt;='Портрет типового резидента'!$E$10,'Портрет типового резидента'!$E$24/1.2*15%/'Портрет типового резидента'!$E$10,0)</f>
        <v>0</v>
      </c>
      <c r="R30" s="147">
        <f>IF('Сравнение налоговой нагрузки'!R$5&lt;='Портрет типового резидента'!$E$10,'Портрет типового резидента'!$E$24/1.2*15%/'Портрет типового резидента'!$E$10,0)</f>
        <v>0</v>
      </c>
      <c r="S30" s="147">
        <f>IF('Сравнение налоговой нагрузки'!S$5&lt;='Портрет типового резидента'!$E$10,'Портрет типового резидента'!$E$24/1.2*15%/'Портрет типового резидента'!$E$10,0)</f>
        <v>0</v>
      </c>
      <c r="T30" s="147">
        <f>IF('Сравнение налоговой нагрузки'!T$5&lt;='Портрет типового резидента'!$E$10,'Портрет типового резидента'!$E$24/1.2*15%/'Портрет типового резидента'!$E$10,0)</f>
        <v>0</v>
      </c>
      <c r="U30" s="147">
        <f>IF('Сравнение налоговой нагрузки'!U$5&lt;='Портрет типового резидента'!$E$10,'Портрет типового резидента'!$E$24/1.2*15%/'Портрет типового резидента'!$E$10,0)</f>
        <v>0</v>
      </c>
      <c r="V30" s="147">
        <f>IF('Сравнение налоговой нагрузки'!V$5&lt;='Портрет типового резидента'!$E$10,'Портрет типового резидента'!$E$24/1.2*15%/'Портрет типового резидента'!$E$10,0)</f>
        <v>0</v>
      </c>
      <c r="W30" s="147">
        <f>IF('Сравнение налоговой нагрузки'!W$5&lt;='Портрет типового резидента'!$E$10,'Портрет типового резидента'!$E$24/1.2*15%/'Портрет типового резидента'!$E$10,0)</f>
        <v>0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</row>
    <row r="31" spans="1:130" s="1" customFormat="1" x14ac:dyDescent="0.25">
      <c r="C31" s="65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130" s="64" customFormat="1" x14ac:dyDescent="0.25">
      <c r="A32" s="11"/>
      <c r="B32" s="205" t="str">
        <f>'Критерии реализации проектов'!B7</f>
        <v>Инвестиционный договор</v>
      </c>
      <c r="C32" s="202">
        <f>SUM(D32:W32)</f>
        <v>13791.808411128084</v>
      </c>
      <c r="D32" s="203">
        <f>D33+D36+D37+D38+D39+D40+D41</f>
        <v>0</v>
      </c>
      <c r="E32" s="203">
        <f t="shared" ref="E32:W32" si="10">E33+E36+E37+E38+E39+E40+E41</f>
        <v>0</v>
      </c>
      <c r="F32" s="203">
        <f t="shared" si="10"/>
        <v>720.29754810437555</v>
      </c>
      <c r="G32" s="203">
        <f t="shared" si="10"/>
        <v>732.51287245202855</v>
      </c>
      <c r="H32" s="203">
        <f t="shared" si="10"/>
        <v>732.51287245202855</v>
      </c>
      <c r="I32" s="203">
        <f t="shared" si="10"/>
        <v>732.51287245202855</v>
      </c>
      <c r="J32" s="203">
        <f t="shared" si="10"/>
        <v>732.51287245202855</v>
      </c>
      <c r="K32" s="203">
        <f t="shared" si="10"/>
        <v>780.11225947812238</v>
      </c>
      <c r="L32" s="203">
        <f t="shared" si="10"/>
        <v>780.11225947812238</v>
      </c>
      <c r="M32" s="203">
        <f t="shared" si="10"/>
        <v>780.11225947812238</v>
      </c>
      <c r="N32" s="203">
        <f t="shared" si="10"/>
        <v>780.11225947812238</v>
      </c>
      <c r="O32" s="203">
        <f t="shared" si="10"/>
        <v>780.11225947812238</v>
      </c>
      <c r="P32" s="203">
        <f t="shared" si="10"/>
        <v>780.11225947812238</v>
      </c>
      <c r="Q32" s="203">
        <f t="shared" si="10"/>
        <v>780.11225947812238</v>
      </c>
      <c r="R32" s="203">
        <f t="shared" si="10"/>
        <v>780.11225947812238</v>
      </c>
      <c r="S32" s="203">
        <f t="shared" si="10"/>
        <v>780.11225947812238</v>
      </c>
      <c r="T32" s="203">
        <f t="shared" si="10"/>
        <v>780.11225947812238</v>
      </c>
      <c r="U32" s="203">
        <f t="shared" si="10"/>
        <v>780.11225947812238</v>
      </c>
      <c r="V32" s="203">
        <f t="shared" si="10"/>
        <v>780.11225947812238</v>
      </c>
      <c r="W32" s="203">
        <f t="shared" si="10"/>
        <v>780.11225947812238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</row>
    <row r="33" spans="1:130" s="64" customFormat="1" outlineLevel="1" x14ac:dyDescent="0.25">
      <c r="A33" s="11"/>
      <c r="B33" s="11" t="s">
        <v>120</v>
      </c>
      <c r="C33" s="65">
        <f>SUM(D33:W33)</f>
        <v>3600</v>
      </c>
      <c r="D33" s="72">
        <f>D34+D35</f>
        <v>0</v>
      </c>
      <c r="E33" s="72">
        <f t="shared" ref="E33:W33" si="11">E34+E35</f>
        <v>0</v>
      </c>
      <c r="F33" s="72">
        <f t="shared" si="11"/>
        <v>200</v>
      </c>
      <c r="G33" s="72">
        <f t="shared" si="11"/>
        <v>200</v>
      </c>
      <c r="H33" s="72">
        <f t="shared" si="11"/>
        <v>200</v>
      </c>
      <c r="I33" s="72">
        <f t="shared" si="11"/>
        <v>200</v>
      </c>
      <c r="J33" s="72">
        <f t="shared" si="11"/>
        <v>200</v>
      </c>
      <c r="K33" s="72">
        <f t="shared" si="11"/>
        <v>200</v>
      </c>
      <c r="L33" s="72">
        <f t="shared" si="11"/>
        <v>200</v>
      </c>
      <c r="M33" s="72">
        <f t="shared" si="11"/>
        <v>200</v>
      </c>
      <c r="N33" s="72">
        <f t="shared" si="11"/>
        <v>200</v>
      </c>
      <c r="O33" s="72">
        <f t="shared" si="11"/>
        <v>200</v>
      </c>
      <c r="P33" s="72">
        <f t="shared" si="11"/>
        <v>200</v>
      </c>
      <c r="Q33" s="72">
        <f t="shared" si="11"/>
        <v>200</v>
      </c>
      <c r="R33" s="72">
        <f t="shared" si="11"/>
        <v>200</v>
      </c>
      <c r="S33" s="72">
        <f t="shared" si="11"/>
        <v>200</v>
      </c>
      <c r="T33" s="72">
        <f t="shared" si="11"/>
        <v>200</v>
      </c>
      <c r="U33" s="72">
        <f t="shared" si="11"/>
        <v>200</v>
      </c>
      <c r="V33" s="72">
        <f t="shared" si="11"/>
        <v>200</v>
      </c>
      <c r="W33" s="72">
        <f t="shared" si="11"/>
        <v>200</v>
      </c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</row>
    <row r="34" spans="1:130" s="63" customFormat="1" outlineLevel="1" x14ac:dyDescent="0.25">
      <c r="A34" s="15"/>
      <c r="B34" s="15" t="s">
        <v>125</v>
      </c>
      <c r="C34" s="66">
        <f t="shared" ref="C34:C38" si="12">SUM(D34:W34)</f>
        <v>3600</v>
      </c>
      <c r="D34" s="142">
        <f>IF('Сравнение налоговой нагрузки'!D$5&lt;='Портрет типового резидента'!$E$10,0,'Портрет типового резидента'!$E$37*'Портрет типового резидента'!$F$50*20%)</f>
        <v>0</v>
      </c>
      <c r="E34" s="142">
        <f>IF('Сравнение налоговой нагрузки'!E$5&lt;='Портрет типового резидента'!$E$10,0,'Портрет типового резидента'!$E$37*'Портрет типового резидента'!$F$50*20%)</f>
        <v>0</v>
      </c>
      <c r="F34" s="142">
        <f>IF('Сравнение налоговой нагрузки'!F$5&lt;='Портрет типового резидента'!$E$10,0,'Портрет типового резидента'!$E$37*'Портрет типового резидента'!$F$50*20%)</f>
        <v>200</v>
      </c>
      <c r="G34" s="142">
        <f>IF('Сравнение налоговой нагрузки'!G$5&lt;='Портрет типового резидента'!$E$10,0,'Портрет типового резидента'!$E$37*'Портрет типового резидента'!$F$50*20%)</f>
        <v>200</v>
      </c>
      <c r="H34" s="142">
        <f>IF('Сравнение налоговой нагрузки'!H$5&lt;='Портрет типового резидента'!$E$10,0,'Портрет типового резидента'!$E$37*'Портрет типового резидента'!$F$50*20%)</f>
        <v>200</v>
      </c>
      <c r="I34" s="142">
        <f>IF('Сравнение налоговой нагрузки'!I$5&lt;='Портрет типового резидента'!$E$10,0,'Портрет типового резидента'!$E$37*'Портрет типового резидента'!$F$50*20%)</f>
        <v>200</v>
      </c>
      <c r="J34" s="142">
        <f>IF('Сравнение налоговой нагрузки'!J$5&lt;='Портрет типового резидента'!$E$10,0,'Портрет типового резидента'!$E$37*'Портрет типового резидента'!$F$50*20%)</f>
        <v>200</v>
      </c>
      <c r="K34" s="142">
        <f>IF('Сравнение налоговой нагрузки'!K$5&lt;='Портрет типового резидента'!$E$10,0,'Портрет типового резидента'!$E$37*'Портрет типового резидента'!$F$50*20%)</f>
        <v>200</v>
      </c>
      <c r="L34" s="142">
        <f>IF('Сравнение налоговой нагрузки'!L$5&lt;='Портрет типового резидента'!$E$10,0,'Портрет типового резидента'!$E$37*'Портрет типового резидента'!$F$50*20%)</f>
        <v>200</v>
      </c>
      <c r="M34" s="142">
        <f>IF('Сравнение налоговой нагрузки'!M$5&lt;='Портрет типового резидента'!$E$10,0,'Портрет типового резидента'!$E$37*'Портрет типового резидента'!$F$50*20%)</f>
        <v>200</v>
      </c>
      <c r="N34" s="142">
        <f>IF('Сравнение налоговой нагрузки'!N$5&lt;='Портрет типового резидента'!$E$10,0,'Портрет типового резидента'!$E$37*'Портрет типового резидента'!$F$50*20%)</f>
        <v>200</v>
      </c>
      <c r="O34" s="142">
        <f>IF('Сравнение налоговой нагрузки'!O$5&lt;='Портрет типового резидента'!$E$10,0,'Портрет типового резидента'!$E$37*'Портрет типового резидента'!$F$50*20%)</f>
        <v>200</v>
      </c>
      <c r="P34" s="142">
        <f>IF('Сравнение налоговой нагрузки'!P$5&lt;='Портрет типового резидента'!$E$10,0,'Портрет типового резидента'!$E$37*'Портрет типового резидента'!$F$50*20%)</f>
        <v>200</v>
      </c>
      <c r="Q34" s="142">
        <f>IF('Сравнение налоговой нагрузки'!Q$5&lt;='Портрет типового резидента'!$E$10,0,'Портрет типового резидента'!$E$37*'Портрет типового резидента'!$F$50*20%)</f>
        <v>200</v>
      </c>
      <c r="R34" s="142">
        <f>IF('Сравнение налоговой нагрузки'!R$5&lt;='Портрет типового резидента'!$E$10,0,'Портрет типового резидента'!$E$37*'Портрет типового резидента'!$F$50*20%)</f>
        <v>200</v>
      </c>
      <c r="S34" s="142">
        <f>IF('Сравнение налоговой нагрузки'!S$5&lt;='Портрет типового резидента'!$E$10,0,'Портрет типового резидента'!$E$37*'Портрет типового резидента'!$F$50*20%)</f>
        <v>200</v>
      </c>
      <c r="T34" s="142">
        <f>IF('Сравнение налоговой нагрузки'!T$5&lt;='Портрет типового резидента'!$E$10,0,'Портрет типового резидента'!$E$37*'Портрет типового резидента'!$F$50*20%)</f>
        <v>200</v>
      </c>
      <c r="U34" s="142">
        <f>IF('Сравнение налоговой нагрузки'!U$5&lt;='Портрет типового резидента'!$E$10,0,'Портрет типового резидента'!$E$37*'Портрет типового резидента'!$F$50*20%)</f>
        <v>200</v>
      </c>
      <c r="V34" s="142">
        <f>IF('Сравнение налоговой нагрузки'!V$5&lt;='Портрет типового резидента'!$E$10,0,'Портрет типового резидента'!$E$37*'Портрет типового резидента'!$F$50*20%)</f>
        <v>200</v>
      </c>
      <c r="W34" s="142">
        <f>IF('Сравнение налоговой нагрузки'!W$5&lt;='Портрет типового резидента'!$E$10,0,'Портрет типового резидента'!$E$37*'Портрет типового резидента'!$F$50*20%)</f>
        <v>200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</row>
    <row r="35" spans="1:130" s="63" customFormat="1" outlineLevel="1" x14ac:dyDescent="0.25">
      <c r="A35" s="15"/>
      <c r="B35" s="15" t="s">
        <v>126</v>
      </c>
      <c r="C35" s="66">
        <f t="shared" si="12"/>
        <v>0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</row>
    <row r="36" spans="1:130" s="64" customFormat="1" outlineLevel="1" x14ac:dyDescent="0.25">
      <c r="A36" s="11"/>
      <c r="B36" s="11" t="s">
        <v>121</v>
      </c>
      <c r="C36" s="65">
        <f t="shared" si="12"/>
        <v>4045.94789721798</v>
      </c>
      <c r="D36" s="145">
        <f>IF('Сравнение налоговой нагрузки'!D$5&lt;='Портрет типового резидента'!$E$10,0,IF('Сравнение налоговой нагрузки'!D$5&lt;=('Портрет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0</v>
      </c>
      <c r="E36" s="145">
        <f>IF('Сравнение налоговой нагрузки'!E$5&lt;='Портрет типового резидента'!$E$10,0,IF('Сравнение налоговой нагрузки'!E$5&lt;=('Портрет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0</v>
      </c>
      <c r="F36" s="145">
        <f>IF('Сравнение налоговой нагрузки'!F$5&lt;='Портрет типового резидента'!$E$10,0,IF('Сравнение налоговой нагрузки'!F$5&lt;=('Портрет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G36" s="145">
        <f>IF('Сравнение налоговой нагрузки'!G$5&lt;='Портрет типового резидента'!$E$10,0,IF('Сравнение налоговой нагрузки'!G$5&lt;=('Портрет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H36" s="145">
        <f>IF('Сравнение налоговой нагрузки'!H$5&lt;='Портрет типового резидента'!$E$10,0,IF('Сравнение налоговой нагрузки'!H$5&lt;=('Портрет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I36" s="145">
        <f>IF('Сравнение налоговой нагрузки'!I$5&lt;='Портрет типового резидента'!$E$10,0,IF('Сравнение налоговой нагрузки'!I$5&lt;=('Портрет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J36" s="145">
        <f>IF('Сравнение налоговой нагрузки'!J$5&lt;='Портрет типового резидента'!$E$10,0,IF('Сравнение налоговой нагрузки'!J$5&lt;=('Портрет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190.39754810437555</v>
      </c>
      <c r="K36" s="145">
        <f>IF('Сравнение налоговой нагрузки'!K$5&lt;='Портрет типового резидента'!$E$10,0,IF('Сравнение налоговой нагрузки'!K$5&lt;=('Портрет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L36" s="145">
        <f>IF('Сравнение налоговой нагрузки'!L$5&lt;='Портрет типового резидента'!$E$10,0,IF('Сравнение налоговой нагрузки'!L$5&lt;=('Портрет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M36" s="145">
        <f>IF('Сравнение налоговой нагрузки'!M$5&lt;='Портрет типового резидента'!$E$10,0,IF('Сравнение налоговой нагрузки'!M$5&lt;=('Портрет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N36" s="145">
        <f>IF('Сравнение налоговой нагрузки'!N$5&lt;='Портрет типового резидента'!$E$10,0,IF('Сравнение налоговой нагрузки'!N$5&lt;=('Портрет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O36" s="145">
        <f>IF('Сравнение налоговой нагрузки'!O$5&lt;='Портрет типового резидента'!$E$10,0,IF('Сравнение налоговой нагрузки'!O$5&lt;=('Портрет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P36" s="145">
        <f>IF('Сравнение налоговой нагрузки'!P$5&lt;='Портрет типового резидента'!$E$10,0,IF('Сравнение налоговой нагрузки'!P$5&lt;=('Портрет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Q36" s="145">
        <f>IF('Сравнение налоговой нагрузки'!Q$5&lt;='Портрет типового резидента'!$E$10,0,IF('Сравнение налоговой нагрузки'!Q$5&lt;=('Портрет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R36" s="145">
        <f>IF('Сравнение налоговой нагрузки'!R$5&lt;='Портрет типового резидента'!$E$10,0,IF('Сравнение налоговой нагрузки'!R$5&lt;=('Портрет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S36" s="145">
        <f>IF('Сравнение налоговой нагрузки'!S$5&lt;='Портрет типового резидента'!$E$10,0,IF('Сравнение налоговой нагрузки'!S$5&lt;=('Портрет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T36" s="145">
        <f>IF('Сравнение налоговой нагрузки'!T$5&lt;='Портрет типового резидента'!$E$10,0,IF('Сравнение налоговой нагрузки'!T$5&lt;=('Портрет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U36" s="145">
        <f>IF('Сравнение налоговой нагрузки'!U$5&lt;='Портрет типового резидента'!$E$10,0,IF('Сравнение налоговой нагрузки'!U$5&lt;=('Портрет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V36" s="145">
        <f>IF('Сравнение налоговой нагрузки'!V$5&lt;='Портрет типового резидента'!$E$10,0,IF('Сравнение налоговой нагрузки'!V$5&lt;=('Портрет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W36" s="145">
        <f>IF('Сравнение налоговой нагрузки'!W$5&lt;='Портрет типового резидента'!$E$10,0,IF('Сравнение налоговой нагрузки'!W$5&lt;=('Портрет типового резидента'!$E$10+5),'Портрет типового резидента'!$E$62*('Портрет типового резидента'!$E$26-'Портрет типового резидента'!$E$32)/'Портрет типового резидента'!$E$26,'Портрет типового резидента'!$E$62))</f>
        <v>237.99693513046941</v>
      </c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</row>
    <row r="37" spans="1:130" s="64" customFormat="1" outlineLevel="1" x14ac:dyDescent="0.25">
      <c r="A37" s="11"/>
      <c r="B37" s="11" t="s">
        <v>122</v>
      </c>
      <c r="C37" s="65">
        <f t="shared" si="12"/>
        <v>585</v>
      </c>
      <c r="D37" s="145">
        <f>IF('Сравнение налоговой нагрузки'!D$5&lt;='Портрет типового резидента'!$E$10,0,'Портрет типового резидента'!$E$49)</f>
        <v>0</v>
      </c>
      <c r="E37" s="145">
        <f>IF('Сравнение налоговой нагрузки'!E$5&lt;='Портрет типового резидента'!$E$10,0,'Портрет типового резидента'!$E$49)</f>
        <v>0</v>
      </c>
      <c r="F37" s="145">
        <f>IF('Сравнение налоговой нагрузки'!F$5&lt;='Портрет типового резидента'!$E$10,0,'Портрет типового резидента'!$E$49)</f>
        <v>32.5</v>
      </c>
      <c r="G37" s="145">
        <f>IF('Сравнение налоговой нагрузки'!G$5&lt;='Портрет типового резидента'!$E$10,0,'Портрет типового резидента'!$E$49)</f>
        <v>32.5</v>
      </c>
      <c r="H37" s="145">
        <f>IF('Сравнение налоговой нагрузки'!H$5&lt;='Портрет типового резидента'!$E$10,0,'Портрет типового резидента'!$E$49)</f>
        <v>32.5</v>
      </c>
      <c r="I37" s="145">
        <f>IF('Сравнение налоговой нагрузки'!I$5&lt;='Портрет типового резидента'!$E$10,0,'Портрет типового резидента'!$E$49)</f>
        <v>32.5</v>
      </c>
      <c r="J37" s="145">
        <f>IF('Сравнение налоговой нагрузки'!J$5&lt;='Портрет типового резидента'!$E$10,0,'Портрет типового резидента'!$E$49)</f>
        <v>32.5</v>
      </c>
      <c r="K37" s="145">
        <f>IF('Сравнение налоговой нагрузки'!K$5&lt;='Портрет типового резидента'!$E$10,0,'Портрет типового резидента'!$E$49)</f>
        <v>32.5</v>
      </c>
      <c r="L37" s="145">
        <f>IF('Сравнение налоговой нагрузки'!L$5&lt;='Портрет типового резидента'!$E$10,0,'Портрет типового резидента'!$E$49)</f>
        <v>32.5</v>
      </c>
      <c r="M37" s="145">
        <f>IF('Сравнение налоговой нагрузки'!M$5&lt;='Портрет типового резидента'!$E$10,0,'Портрет типового резидента'!$E$49)</f>
        <v>32.5</v>
      </c>
      <c r="N37" s="145">
        <f>IF('Сравнение налоговой нагрузки'!N$5&lt;='Портрет типового резидента'!$E$10,0,'Портрет типового резидента'!$E$49)</f>
        <v>32.5</v>
      </c>
      <c r="O37" s="145">
        <f>IF('Сравнение налоговой нагрузки'!O$5&lt;='Портрет типового резидента'!$E$10,0,'Портрет типового резидента'!$E$49)</f>
        <v>32.5</v>
      </c>
      <c r="P37" s="145">
        <f>IF('Сравнение налоговой нагрузки'!P$5&lt;='Портрет типового резидента'!$E$10,0,'Портрет типового резидента'!$E$49)</f>
        <v>32.5</v>
      </c>
      <c r="Q37" s="145">
        <f>IF('Сравнение налоговой нагрузки'!Q$5&lt;='Портрет типового резидента'!$E$10,0,'Портрет типового резидента'!$E$49)</f>
        <v>32.5</v>
      </c>
      <c r="R37" s="145">
        <f>IF('Сравнение налоговой нагрузки'!R$5&lt;='Портрет типового резидента'!$E$10,0,'Портрет типового резидента'!$E$49)</f>
        <v>32.5</v>
      </c>
      <c r="S37" s="145">
        <f>IF('Сравнение налоговой нагрузки'!S$5&lt;='Портрет типового резидента'!$E$10,0,'Портрет типового резидента'!$E$49)</f>
        <v>32.5</v>
      </c>
      <c r="T37" s="145">
        <f>IF('Сравнение налоговой нагрузки'!T$5&lt;='Портрет типового резидента'!$E$10,0,'Портрет типового резидента'!$E$49)</f>
        <v>32.5</v>
      </c>
      <c r="U37" s="145">
        <f>IF('Сравнение налоговой нагрузки'!U$5&lt;='Портрет типового резидента'!$E$10,0,'Портрет типового резидента'!$E$49)</f>
        <v>32.5</v>
      </c>
      <c r="V37" s="145">
        <f>IF('Сравнение налоговой нагрузки'!V$5&lt;='Портрет типового резидента'!$E$10,0,'Портрет типового резидента'!$E$49)</f>
        <v>32.5</v>
      </c>
      <c r="W37" s="145">
        <f>IF('Сравнение налоговой нагрузки'!W$5&lt;='Портрет типового резидента'!$E$10,0,'Портрет типового резидента'!$E$49)</f>
        <v>32.5</v>
      </c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</row>
    <row r="38" spans="1:130" s="64" customFormat="1" outlineLevel="1" x14ac:dyDescent="0.25">
      <c r="A38" s="11"/>
      <c r="B38" s="11" t="s">
        <v>129</v>
      </c>
      <c r="C38" s="146">
        <f t="shared" si="12"/>
        <v>207.66051391009896</v>
      </c>
      <c r="D38" s="145">
        <f>IF('Сравнение налоговой нагрузки'!D$5&lt;=('Портрет типового резидента'!$E$10+1),0,'Портрет типового резидента'!$E$48)</f>
        <v>0</v>
      </c>
      <c r="E38" s="145">
        <f>IF('Сравнение налоговой нагрузки'!E$5&lt;=('Портрет типового резидента'!$E$10+1),0,'Портрет типового резидента'!$E$48)</f>
        <v>0</v>
      </c>
      <c r="F38" s="145">
        <f>IF('Сравнение налоговой нагрузки'!F$5&lt;=('Портрет типового резидента'!$E$10+1),0,'Портрет типового резидента'!$E$48)</f>
        <v>0</v>
      </c>
      <c r="G38" s="145">
        <f>IF('Сравнение налоговой нагрузки'!G$5&lt;=('Портрет типового резидента'!$E$10+1),0,'Портрет типового резидента'!$E$48)</f>
        <v>12.215324347652876</v>
      </c>
      <c r="H38" s="145">
        <f>IF('Сравнение налоговой нагрузки'!H$5&lt;=('Портрет типового резидента'!$E$10+1),0,'Портрет типового резидента'!$E$48)</f>
        <v>12.215324347652876</v>
      </c>
      <c r="I38" s="145">
        <f>IF('Сравнение налоговой нагрузки'!I$5&lt;=('Портрет типового резидента'!$E$10+1),0,'Портрет типового резидента'!$E$48)</f>
        <v>12.215324347652876</v>
      </c>
      <c r="J38" s="145">
        <f>IF('Сравнение налоговой нагрузки'!J$5&lt;=('Портрет типового резидента'!$E$10+1),0,'Портрет типового резидента'!$E$48)</f>
        <v>12.215324347652876</v>
      </c>
      <c r="K38" s="145">
        <f>IF('Сравнение налоговой нагрузки'!K$5&lt;=('Портрет типового резидента'!$E$10+1),0,'Портрет типового резидента'!$E$48)</f>
        <v>12.215324347652876</v>
      </c>
      <c r="L38" s="145">
        <f>IF('Сравнение налоговой нагрузки'!L$5&lt;=('Портрет типового резидента'!$E$10+1),0,'Портрет типового резидента'!$E$48)</f>
        <v>12.215324347652876</v>
      </c>
      <c r="M38" s="145">
        <f>IF('Сравнение налоговой нагрузки'!M$5&lt;=('Портрет типового резидента'!$E$10+1),0,'Портрет типового резидента'!$E$48)</f>
        <v>12.215324347652876</v>
      </c>
      <c r="N38" s="145">
        <f>IF('Сравнение налоговой нагрузки'!N$5&lt;=('Портрет типового резидента'!$E$10+1),0,'Портрет типового резидента'!$E$48)</f>
        <v>12.215324347652876</v>
      </c>
      <c r="O38" s="145">
        <f>IF('Сравнение налоговой нагрузки'!O$5&lt;=('Портрет типового резидента'!$E$10+1),0,'Портрет типового резидента'!$E$48)</f>
        <v>12.215324347652876</v>
      </c>
      <c r="P38" s="145">
        <f>IF('Сравнение налоговой нагрузки'!P$5&lt;=('Портрет типового резидента'!$E$10+1),0,'Портрет типового резидента'!$E$48)</f>
        <v>12.215324347652876</v>
      </c>
      <c r="Q38" s="145">
        <f>IF('Сравнение налоговой нагрузки'!Q$5&lt;=('Портрет типового резидента'!$E$10+1),0,'Портрет типового резидента'!$E$48)</f>
        <v>12.215324347652876</v>
      </c>
      <c r="R38" s="145">
        <f>IF('Сравнение налоговой нагрузки'!R$5&lt;=('Портрет типового резидента'!$E$10+1),0,'Портрет типового резидента'!$E$48)</f>
        <v>12.215324347652876</v>
      </c>
      <c r="S38" s="145">
        <f>IF('Сравнение налоговой нагрузки'!S$5&lt;=('Портрет типового резидента'!$E$10+1),0,'Портрет типового резидента'!$E$48)</f>
        <v>12.215324347652876</v>
      </c>
      <c r="T38" s="145">
        <f>IF('Сравнение налоговой нагрузки'!T$5&lt;=('Портрет типового резидента'!$E$10+1),0,'Портрет типового резидента'!$E$48)</f>
        <v>12.215324347652876</v>
      </c>
      <c r="U38" s="145">
        <f>IF('Сравнение налоговой нагрузки'!U$5&lt;=('Портрет типового резидента'!$E$10+1),0,'Портрет типового резидента'!$E$48)</f>
        <v>12.215324347652876</v>
      </c>
      <c r="V38" s="145">
        <f>IF('Сравнение налоговой нагрузки'!V$5&lt;=('Портрет типового резидента'!$E$10+1),0,'Портрет типового резидента'!$E$48)</f>
        <v>12.215324347652876</v>
      </c>
      <c r="W38" s="145">
        <f>IF('Сравнение налоговой нагрузки'!W$5&lt;=('Портрет типового резидента'!$E$10+1),0,'Портрет типового резидента'!$E$48)</f>
        <v>12.215324347652876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</row>
    <row r="39" spans="1:130" s="64" customFormat="1" outlineLevel="1" x14ac:dyDescent="0.25">
      <c r="A39" s="11"/>
      <c r="B39" s="11" t="s">
        <v>123</v>
      </c>
      <c r="C39" s="65">
        <f t="shared" ref="C39:C41" si="13">SUM(D39:W39)</f>
        <v>2570.4</v>
      </c>
      <c r="D39" s="145">
        <f>IF('Сравнение налоговой нагрузки'!D$5&lt;='Портрет типового резидента'!$E$10,0,'Портрет типового резидента'!$E$41)</f>
        <v>0</v>
      </c>
      <c r="E39" s="145">
        <f>IF('Сравнение налоговой нагрузки'!E$5&lt;='Портрет типового резидента'!$E$10,0,'Портрет типового резидента'!$E$41)</f>
        <v>0</v>
      </c>
      <c r="F39" s="145">
        <f>IF('Сравнение налоговой нагрузки'!F$5&lt;='Портрет типового резидента'!$E$10,0,'Портрет типового резидента'!$E$41)</f>
        <v>142.80000000000001</v>
      </c>
      <c r="G39" s="145">
        <f>IF('Сравнение налоговой нагрузки'!G$5&lt;='Портрет типового резидента'!$E$10,0,'Портрет типового резидента'!$E$41)</f>
        <v>142.80000000000001</v>
      </c>
      <c r="H39" s="145">
        <f>IF('Сравнение налоговой нагрузки'!H$5&lt;='Портрет типового резидента'!$E$10,0,'Портрет типового резидента'!$E$41)</f>
        <v>142.80000000000001</v>
      </c>
      <c r="I39" s="145">
        <f>IF('Сравнение налоговой нагрузки'!I$5&lt;='Портрет типового резидента'!$E$10,0,'Портрет типового резидента'!$E$41)</f>
        <v>142.80000000000001</v>
      </c>
      <c r="J39" s="145">
        <f>IF('Сравнение налоговой нагрузки'!J$5&lt;='Портрет типового резидента'!$E$10,0,'Портрет типового резидента'!$E$41)</f>
        <v>142.80000000000001</v>
      </c>
      <c r="K39" s="145">
        <f>IF('Сравнение налоговой нагрузки'!K$5&lt;='Портрет типового резидента'!$E$10,0,'Портрет типового резидента'!$E$41)</f>
        <v>142.80000000000001</v>
      </c>
      <c r="L39" s="145">
        <f>IF('Сравнение налоговой нагрузки'!L$5&lt;='Портрет типового резидента'!$E$10,0,'Портрет типового резидента'!$E$41)</f>
        <v>142.80000000000001</v>
      </c>
      <c r="M39" s="145">
        <f>IF('Сравнение налоговой нагрузки'!M$5&lt;='Портрет типового резидента'!$E$10,0,'Портрет типового резидента'!$E$41)</f>
        <v>142.80000000000001</v>
      </c>
      <c r="N39" s="145">
        <f>IF('Сравнение налоговой нагрузки'!N$5&lt;='Портрет типового резидента'!$E$10,0,'Портрет типового резидента'!$E$41)</f>
        <v>142.80000000000001</v>
      </c>
      <c r="O39" s="145">
        <f>IF('Сравнение налоговой нагрузки'!O$5&lt;='Портрет типового резидента'!$E$10,0,'Портрет типового резидента'!$E$41)</f>
        <v>142.80000000000001</v>
      </c>
      <c r="P39" s="145">
        <f>IF('Сравнение налоговой нагрузки'!P$5&lt;='Портрет типового резидента'!$E$10,0,'Портрет типового резидента'!$E$41)</f>
        <v>142.80000000000001</v>
      </c>
      <c r="Q39" s="145">
        <f>IF('Сравнение налоговой нагрузки'!Q$5&lt;='Портрет типового резидента'!$E$10,0,'Портрет типового резидента'!$E$41)</f>
        <v>142.80000000000001</v>
      </c>
      <c r="R39" s="145">
        <f>IF('Сравнение налоговой нагрузки'!R$5&lt;='Портрет типового резидента'!$E$10,0,'Портрет типового резидента'!$E$41)</f>
        <v>142.80000000000001</v>
      </c>
      <c r="S39" s="145">
        <f>IF('Сравнение налоговой нагрузки'!S$5&lt;='Портрет типового резидента'!$E$10,0,'Портрет типового резидента'!$E$41)</f>
        <v>142.80000000000001</v>
      </c>
      <c r="T39" s="145">
        <f>IF('Сравнение налоговой нагрузки'!T$5&lt;='Портрет типового резидента'!$E$10,0,'Портрет типового резидента'!$E$41)</f>
        <v>142.80000000000001</v>
      </c>
      <c r="U39" s="145">
        <f>IF('Сравнение налоговой нагрузки'!U$5&lt;='Портрет типового резидента'!$E$10,0,'Портрет типового резидента'!$E$41)</f>
        <v>142.80000000000001</v>
      </c>
      <c r="V39" s="145">
        <f>IF('Сравнение налоговой нагрузки'!V$5&lt;='Портрет типового резидента'!$E$10,0,'Портрет типового резидента'!$E$41)</f>
        <v>142.80000000000001</v>
      </c>
      <c r="W39" s="145">
        <f>IF('Сравнение налоговой нагрузки'!W$5&lt;='Портрет типового резидента'!$E$10,0,'Портрет типового резидента'!$E$41)</f>
        <v>142.80000000000001</v>
      </c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</row>
    <row r="40" spans="1:130" s="64" customFormat="1" outlineLevel="1" x14ac:dyDescent="0.25">
      <c r="A40" s="11"/>
      <c r="B40" s="11" t="s">
        <v>124</v>
      </c>
      <c r="C40" s="65">
        <f t="shared" si="13"/>
        <v>982.8000000000003</v>
      </c>
      <c r="D40" s="145">
        <f>IF('Сравнение налоговой нагрузки'!D$5&lt;='Портрет типового резидента'!$E$10,0,'Портрет типового резидента'!$E$38*Налогообложение!$E$19)</f>
        <v>0</v>
      </c>
      <c r="E40" s="145">
        <f>IF('Сравнение налоговой нагрузки'!E$5&lt;='Портрет типового резидента'!$E$10,0,'Портрет типового резидента'!$E$38*Налогообложение!$E$19)</f>
        <v>0</v>
      </c>
      <c r="F40" s="145">
        <f>IF('Сравнение налоговой нагрузки'!F$5&lt;='Портрет типового резидента'!$E$10,0,'Портрет типового резидента'!$E$38*Налогообложение!$E$19)</f>
        <v>54.6</v>
      </c>
      <c r="G40" s="145">
        <f>IF('Сравнение налоговой нагрузки'!G$5&lt;='Портрет типового резидента'!$E$10,0,'Портрет типового резидента'!$E$38*Налогообложение!$E$19)</f>
        <v>54.6</v>
      </c>
      <c r="H40" s="145">
        <f>IF('Сравнение налоговой нагрузки'!H$5&lt;='Портрет типового резидента'!$E$10,0,'Портрет типового резидента'!$E$38*Налогообложение!$E$19)</f>
        <v>54.6</v>
      </c>
      <c r="I40" s="145">
        <f>IF('Сравнение налоговой нагрузки'!I$5&lt;='Портрет типового резидента'!$E$10,0,'Портрет типового резидента'!$E$38*Налогообложение!$E$19)</f>
        <v>54.6</v>
      </c>
      <c r="J40" s="145">
        <f>IF('Сравнение налоговой нагрузки'!J$5&lt;='Портрет типового резидента'!$E$10,0,'Портрет типового резидента'!$E$38*Налогообложение!$E$19)</f>
        <v>54.6</v>
      </c>
      <c r="K40" s="145">
        <f>IF('Сравнение налоговой нагрузки'!K$5&lt;='Портрет типового резидента'!$E$10,0,'Портрет типового резидента'!$E$38*Налогообложение!$E$19)</f>
        <v>54.6</v>
      </c>
      <c r="L40" s="145">
        <f>IF('Сравнение налоговой нагрузки'!L$5&lt;='Портрет типового резидента'!$E$10,0,'Портрет типового резидента'!$E$38*Налогообложение!$E$19)</f>
        <v>54.6</v>
      </c>
      <c r="M40" s="145">
        <f>IF('Сравнение налоговой нагрузки'!M$5&lt;='Портрет типового резидента'!$E$10,0,'Портрет типового резидента'!$E$38*Налогообложение!$E$19)</f>
        <v>54.6</v>
      </c>
      <c r="N40" s="145">
        <f>IF('Сравнение налоговой нагрузки'!N$5&lt;='Портрет типового резидента'!$E$10,0,'Портрет типового резидента'!$E$38*Налогообложение!$E$19)</f>
        <v>54.6</v>
      </c>
      <c r="O40" s="145">
        <f>IF('Сравнение налоговой нагрузки'!O$5&lt;='Портрет типового резидента'!$E$10,0,'Портрет типового резидента'!$E$38*Налогообложение!$E$19)</f>
        <v>54.6</v>
      </c>
      <c r="P40" s="145">
        <f>IF('Сравнение налоговой нагрузки'!P$5&lt;='Портрет типового резидента'!$E$10,0,'Портрет типового резидента'!$E$38*Налогообложение!$E$19)</f>
        <v>54.6</v>
      </c>
      <c r="Q40" s="145">
        <f>IF('Сравнение налоговой нагрузки'!Q$5&lt;='Портрет типового резидента'!$E$10,0,'Портрет типового резидента'!$E$38*Налогообложение!$E$19)</f>
        <v>54.6</v>
      </c>
      <c r="R40" s="145">
        <f>IF('Сравнение налоговой нагрузки'!R$5&lt;='Портрет типового резидента'!$E$10,0,'Портрет типового резидента'!$E$38*Налогообложение!$E$19)</f>
        <v>54.6</v>
      </c>
      <c r="S40" s="145">
        <f>IF('Сравнение налоговой нагрузки'!S$5&lt;='Портрет типового резидента'!$E$10,0,'Портрет типового резидента'!$E$38*Налогообложение!$E$19)</f>
        <v>54.6</v>
      </c>
      <c r="T40" s="145">
        <f>IF('Сравнение налоговой нагрузки'!T$5&lt;='Портрет типового резидента'!$E$10,0,'Портрет типового резидента'!$E$38*Налогообложение!$E$19)</f>
        <v>54.6</v>
      </c>
      <c r="U40" s="145">
        <f>IF('Сравнение налоговой нагрузки'!U$5&lt;='Портрет типового резидента'!$E$10,0,'Портрет типового резидента'!$E$38*Налогообложение!$E$19)</f>
        <v>54.6</v>
      </c>
      <c r="V40" s="145">
        <f>IF('Сравнение налоговой нагрузки'!V$5&lt;='Портрет типового резидента'!$E$10,0,'Портрет типового резидента'!$E$38*Налогообложение!$E$19)</f>
        <v>54.6</v>
      </c>
      <c r="W40" s="145">
        <f>IF('Сравнение налоговой нагрузки'!W$5&lt;='Портрет типового резидента'!$E$10,0,'Портрет типового резидента'!$E$38*Налогообложение!$E$19)</f>
        <v>54.6</v>
      </c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</row>
    <row r="41" spans="1:130" s="64" customFormat="1" outlineLevel="1" x14ac:dyDescent="0.25">
      <c r="A41" s="11"/>
      <c r="B41" s="11" t="s">
        <v>130</v>
      </c>
      <c r="C41" s="65">
        <f t="shared" si="13"/>
        <v>1800</v>
      </c>
      <c r="D41" s="72">
        <f>D42+D43</f>
        <v>0</v>
      </c>
      <c r="E41" s="72">
        <f t="shared" ref="E41:W41" si="14">E42+E43</f>
        <v>0</v>
      </c>
      <c r="F41" s="72">
        <f t="shared" si="14"/>
        <v>100</v>
      </c>
      <c r="G41" s="72">
        <f t="shared" si="14"/>
        <v>100</v>
      </c>
      <c r="H41" s="72">
        <f t="shared" si="14"/>
        <v>100</v>
      </c>
      <c r="I41" s="72">
        <f t="shared" si="14"/>
        <v>100</v>
      </c>
      <c r="J41" s="72">
        <f t="shared" si="14"/>
        <v>100</v>
      </c>
      <c r="K41" s="72">
        <f t="shared" si="14"/>
        <v>100</v>
      </c>
      <c r="L41" s="72">
        <f t="shared" si="14"/>
        <v>100</v>
      </c>
      <c r="M41" s="72">
        <f t="shared" si="14"/>
        <v>100</v>
      </c>
      <c r="N41" s="72">
        <f t="shared" si="14"/>
        <v>100</v>
      </c>
      <c r="O41" s="72">
        <f t="shared" si="14"/>
        <v>100</v>
      </c>
      <c r="P41" s="72">
        <f t="shared" si="14"/>
        <v>100</v>
      </c>
      <c r="Q41" s="72">
        <f t="shared" si="14"/>
        <v>100</v>
      </c>
      <c r="R41" s="72">
        <f t="shared" si="14"/>
        <v>100</v>
      </c>
      <c r="S41" s="72">
        <f t="shared" si="14"/>
        <v>100</v>
      </c>
      <c r="T41" s="72">
        <f t="shared" si="14"/>
        <v>100</v>
      </c>
      <c r="U41" s="72">
        <f t="shared" si="14"/>
        <v>100</v>
      </c>
      <c r="V41" s="72">
        <f t="shared" si="14"/>
        <v>100</v>
      </c>
      <c r="W41" s="72">
        <f t="shared" si="14"/>
        <v>100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</row>
    <row r="42" spans="1:130" outlineLevel="1" x14ac:dyDescent="0.25">
      <c r="B42" s="15" t="s">
        <v>127</v>
      </c>
      <c r="C42" s="66">
        <f>SUM(D42:W42)</f>
        <v>1800</v>
      </c>
      <c r="D42" s="142">
        <f>IF('Сравнение налоговой нагрузки'!D$5&lt;='Портрет типового резидента'!$E$10,0,'Портрет типового резидента'!$E$50)</f>
        <v>0</v>
      </c>
      <c r="E42" s="142">
        <f>IF('Сравнение налоговой нагрузки'!E$5&lt;='Портрет типового резидента'!$E$10,0,'Портрет типового резидента'!$E$50)</f>
        <v>0</v>
      </c>
      <c r="F42" s="142">
        <f>IF('Сравнение налоговой нагрузки'!F$5&lt;='Портрет типового резидента'!$E$10,0,'Портрет типового резидента'!$E$50)</f>
        <v>100</v>
      </c>
      <c r="G42" s="142">
        <f>IF('Сравнение налоговой нагрузки'!G$5&lt;='Портрет типового резидента'!$E$10,0,'Портрет типового резидента'!$E$50)</f>
        <v>100</v>
      </c>
      <c r="H42" s="142">
        <f>IF('Сравнение налоговой нагрузки'!H$5&lt;='Портрет типового резидента'!$E$10,0,'Портрет типового резидента'!$E$50)</f>
        <v>100</v>
      </c>
      <c r="I42" s="142">
        <f>IF('Сравнение налоговой нагрузки'!I$5&lt;='Портрет типового резидента'!$E$10,0,'Портрет типового резидента'!$E$50)</f>
        <v>100</v>
      </c>
      <c r="J42" s="142">
        <f>IF('Сравнение налоговой нагрузки'!J$5&lt;='Портрет типового резидента'!$E$10,0,'Портрет типового резидента'!$E$50)</f>
        <v>100</v>
      </c>
      <c r="K42" s="142">
        <f>IF('Сравнение налоговой нагрузки'!K$5&lt;='Портрет типового резидента'!$E$10,0,'Портрет типового резидента'!$E$50)</f>
        <v>100</v>
      </c>
      <c r="L42" s="142">
        <f>IF('Сравнение налоговой нагрузки'!L$5&lt;='Портрет типового резидента'!$E$10,0,'Портрет типового резидента'!$E$50)</f>
        <v>100</v>
      </c>
      <c r="M42" s="142">
        <f>IF('Сравнение налоговой нагрузки'!M$5&lt;='Портрет типового резидента'!$E$10,0,'Портрет типового резидента'!$E$50)</f>
        <v>100</v>
      </c>
      <c r="N42" s="142">
        <f>IF('Сравнение налоговой нагрузки'!N$5&lt;='Портрет типового резидента'!$E$10,0,'Портрет типового резидента'!$E$50)</f>
        <v>100</v>
      </c>
      <c r="O42" s="142">
        <f>IF('Сравнение налоговой нагрузки'!O$5&lt;='Портрет типового резидента'!$E$10,0,'Портрет типового резидента'!$E$50)</f>
        <v>100</v>
      </c>
      <c r="P42" s="142">
        <f>IF('Сравнение налоговой нагрузки'!P$5&lt;='Портрет типового резидента'!$E$10,0,'Портрет типового резидента'!$E$50)</f>
        <v>100</v>
      </c>
      <c r="Q42" s="142">
        <f>IF('Сравнение налоговой нагрузки'!Q$5&lt;='Портрет типового резидента'!$E$10,0,'Портрет типового резидента'!$E$50)</f>
        <v>100</v>
      </c>
      <c r="R42" s="142">
        <f>IF('Сравнение налоговой нагрузки'!R$5&lt;='Портрет типового резидента'!$E$10,0,'Портрет типового резидента'!$E$50)</f>
        <v>100</v>
      </c>
      <c r="S42" s="142">
        <f>IF('Сравнение налоговой нагрузки'!S$5&lt;='Портрет типового резидента'!$E$10,0,'Портрет типового резидента'!$E$50)</f>
        <v>100</v>
      </c>
      <c r="T42" s="142">
        <f>IF('Сравнение налоговой нагрузки'!T$5&lt;='Портрет типового резидента'!$E$10,0,'Портрет типового резидента'!$E$50)</f>
        <v>100</v>
      </c>
      <c r="U42" s="142">
        <f>IF('Сравнение налоговой нагрузки'!U$5&lt;='Портрет типового резидента'!$E$10,0,'Портрет типового резидента'!$E$50)</f>
        <v>100</v>
      </c>
      <c r="V42" s="142">
        <f>IF('Сравнение налоговой нагрузки'!V$5&lt;='Портрет типового резидента'!$E$10,0,'Портрет типового резидента'!$E$50)</f>
        <v>100</v>
      </c>
      <c r="W42" s="142">
        <f>IF('Сравнение налоговой нагрузки'!W$5&lt;='Портрет типового резидента'!$E$10,0,'Портрет типового резидента'!$E$50)</f>
        <v>100</v>
      </c>
    </row>
    <row r="43" spans="1:130" outlineLevel="1" x14ac:dyDescent="0.25">
      <c r="B43" s="69" t="s">
        <v>128</v>
      </c>
      <c r="C43" s="67">
        <f>SUM(D43:W43)</f>
        <v>0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spans="1:130" s="1" customFormat="1" x14ac:dyDescent="0.25">
      <c r="C44" s="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130" s="1" customFormat="1" x14ac:dyDescent="0.25">
      <c r="B45" s="11" t="s">
        <v>204</v>
      </c>
    </row>
    <row r="46" spans="1:130" s="1" customFormat="1" x14ac:dyDescent="0.25"/>
    <row r="47" spans="1:130" ht="30" x14ac:dyDescent="0.25">
      <c r="B47" s="226" t="s">
        <v>205</v>
      </c>
      <c r="C47" s="202">
        <f>SUM(D47:W47)</f>
        <v>9467.7794653741475</v>
      </c>
      <c r="D47" s="203">
        <f>D48+D51+D52+D53+D54+D55+D56</f>
        <v>0</v>
      </c>
      <c r="E47" s="203">
        <f t="shared" ref="E47:W47" si="15">E48+E51+E52+E53+E54+E55+E56</f>
        <v>0</v>
      </c>
      <c r="F47" s="203">
        <f t="shared" si="15"/>
        <v>508.79908053914085</v>
      </c>
      <c r="G47" s="203">
        <f t="shared" si="15"/>
        <v>508.79908053914085</v>
      </c>
      <c r="H47" s="203">
        <f t="shared" si="15"/>
        <v>508.79908053914085</v>
      </c>
      <c r="I47" s="203">
        <f t="shared" si="15"/>
        <v>508.79908053914085</v>
      </c>
      <c r="J47" s="203">
        <f t="shared" si="15"/>
        <v>508.79908053914085</v>
      </c>
      <c r="K47" s="203">
        <f t="shared" si="15"/>
        <v>532.59877405218776</v>
      </c>
      <c r="L47" s="203">
        <f t="shared" si="15"/>
        <v>532.59877405218776</v>
      </c>
      <c r="M47" s="203">
        <f t="shared" si="15"/>
        <v>532.59877405218776</v>
      </c>
      <c r="N47" s="203">
        <f t="shared" si="15"/>
        <v>532.59877405218776</v>
      </c>
      <c r="O47" s="203">
        <f t="shared" si="15"/>
        <v>532.59877405218776</v>
      </c>
      <c r="P47" s="203">
        <f t="shared" si="15"/>
        <v>532.59877405218776</v>
      </c>
      <c r="Q47" s="203">
        <f t="shared" si="15"/>
        <v>532.59877405218776</v>
      </c>
      <c r="R47" s="203">
        <f t="shared" si="15"/>
        <v>532.59877405218776</v>
      </c>
      <c r="S47" s="203">
        <f t="shared" si="15"/>
        <v>532.59877405218776</v>
      </c>
      <c r="T47" s="203">
        <f t="shared" si="15"/>
        <v>532.59877405218776</v>
      </c>
      <c r="U47" s="203">
        <f t="shared" si="15"/>
        <v>532.59877405218776</v>
      </c>
      <c r="V47" s="203">
        <f t="shared" si="15"/>
        <v>532.59877405218776</v>
      </c>
      <c r="W47" s="203">
        <f t="shared" si="15"/>
        <v>532.59877405218776</v>
      </c>
    </row>
    <row r="48" spans="1:130" s="64" customFormat="1" outlineLevel="1" x14ac:dyDescent="0.25">
      <c r="A48" s="11"/>
      <c r="B48" s="11" t="s">
        <v>120</v>
      </c>
      <c r="C48" s="65">
        <f t="shared" ref="C48:C58" si="16">SUM(D48:W48)</f>
        <v>2880</v>
      </c>
      <c r="D48" s="72">
        <f>D49+D50</f>
        <v>0</v>
      </c>
      <c r="E48" s="72">
        <f t="shared" ref="E48:W48" si="17">E49+E50</f>
        <v>0</v>
      </c>
      <c r="F48" s="72">
        <f t="shared" si="17"/>
        <v>160</v>
      </c>
      <c r="G48" s="72">
        <f t="shared" si="17"/>
        <v>160</v>
      </c>
      <c r="H48" s="72">
        <f t="shared" si="17"/>
        <v>160</v>
      </c>
      <c r="I48" s="72">
        <f t="shared" si="17"/>
        <v>160</v>
      </c>
      <c r="J48" s="72">
        <f t="shared" si="17"/>
        <v>160</v>
      </c>
      <c r="K48" s="72">
        <f t="shared" si="17"/>
        <v>160</v>
      </c>
      <c r="L48" s="72">
        <f t="shared" si="17"/>
        <v>160</v>
      </c>
      <c r="M48" s="72">
        <f t="shared" si="17"/>
        <v>160</v>
      </c>
      <c r="N48" s="72">
        <f t="shared" si="17"/>
        <v>160</v>
      </c>
      <c r="O48" s="72">
        <f t="shared" si="17"/>
        <v>160</v>
      </c>
      <c r="P48" s="72">
        <f t="shared" si="17"/>
        <v>160</v>
      </c>
      <c r="Q48" s="72">
        <f t="shared" si="17"/>
        <v>160</v>
      </c>
      <c r="R48" s="72">
        <f t="shared" si="17"/>
        <v>160</v>
      </c>
      <c r="S48" s="72">
        <f t="shared" si="17"/>
        <v>160</v>
      </c>
      <c r="T48" s="72">
        <f t="shared" si="17"/>
        <v>160</v>
      </c>
      <c r="U48" s="72">
        <f t="shared" si="17"/>
        <v>160</v>
      </c>
      <c r="V48" s="72">
        <f t="shared" si="17"/>
        <v>160</v>
      </c>
      <c r="W48" s="72">
        <f t="shared" si="17"/>
        <v>160</v>
      </c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</row>
    <row r="49" spans="1:130" s="63" customFormat="1" outlineLevel="1" x14ac:dyDescent="0.25">
      <c r="A49" s="15"/>
      <c r="B49" s="15" t="s">
        <v>125</v>
      </c>
      <c r="C49" s="66">
        <f t="shared" si="16"/>
        <v>2880</v>
      </c>
      <c r="D49" s="142">
        <f>IF('Сравнение налоговой нагрузки'!D$5&lt;='Портрет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E49" s="142">
        <f>IF('Сравнение налоговой нагрузки'!E$5&lt;='Портрет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0</v>
      </c>
      <c r="F49" s="142">
        <f>IF('Сравнение налоговой нагрузки'!F$5&lt;='Портрет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G49" s="142">
        <f>IF('Сравнение налоговой нагрузки'!G$5&lt;='Портрет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H49" s="142">
        <f>IF('Сравнение налоговой нагрузки'!H$5&lt;='Портрет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I49" s="142">
        <f>IF('Сравнение налоговой нагрузки'!I$5&lt;='Портрет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J49" s="142">
        <f>IF('Сравнение налоговой нагрузки'!J$5&lt;='Портрет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K49" s="142">
        <f>IF('Сравнение налоговой нагрузки'!K$5&lt;='Портрет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L49" s="142">
        <f>IF('Сравнение налоговой нагрузки'!L$5&lt;='Портрет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M49" s="142">
        <f>IF('Сравнение налоговой нагрузки'!M$5&lt;='Портрет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N49" s="142">
        <f>IF('Сравнение налоговой нагрузки'!N$5&lt;='Портрет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O49" s="142">
        <f>IF('Сравнение налоговой нагрузки'!O$5&lt;='Портрет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P49" s="142">
        <f>IF('Сравнение налоговой нагрузки'!P$5&lt;='Портрет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Q49" s="142">
        <f>IF('Сравнение налоговой нагрузки'!Q$5&lt;='Портрет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R49" s="142">
        <f>IF('Сравнение налоговой нагрузки'!R$5&lt;='Портрет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S49" s="142">
        <f>IF('Сравнение налоговой нагрузки'!S$5&lt;='Портрет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T49" s="142">
        <f>IF('Сравнение налоговой нагрузки'!T$5&lt;='Портрет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U49" s="142">
        <f>IF('Сравнение налоговой нагрузки'!U$5&lt;='Портрет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V49" s="142">
        <f>IF('Сравнение налоговой нагрузки'!V$5&lt;='Портрет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W49" s="142">
        <f>IF('Сравнение налоговой нагрузки'!W$5&lt;='Портрет типового резидента'!$E$10,0,'Портрет типового резидента'!$E$37*'Портрет типового резидента'!$F$50*20%*('Портрет типового резидента'!$E$26-'Портрет типового резидента'!$E$30)/'Портрет типового резидента'!$E$26)</f>
        <v>160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</row>
    <row r="50" spans="1:130" s="63" customFormat="1" outlineLevel="1" x14ac:dyDescent="0.25">
      <c r="A50" s="15"/>
      <c r="B50" s="15" t="s">
        <v>126</v>
      </c>
      <c r="C50" s="66">
        <f t="shared" si="16"/>
        <v>0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</row>
    <row r="51" spans="1:130" s="64" customFormat="1" outlineLevel="1" x14ac:dyDescent="0.25">
      <c r="A51" s="11"/>
      <c r="B51" s="11" t="s">
        <v>121</v>
      </c>
      <c r="C51" s="65">
        <f t="shared" si="16"/>
        <v>1594.5794653741448</v>
      </c>
      <c r="D51" s="145">
        <f>IF('Сравнение налоговой нагрузки'!D$5&lt;='Портрет типового резидента'!$E$10,0,IF('Сравнение налоговой нагрузки'!D$5&lt;=('Портрет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0</v>
      </c>
      <c r="E51" s="145">
        <f>IF('Сравнение налоговой нагрузки'!E$5&lt;='Портрет типового резидента'!$E$10,0,IF('Сравнение налоговой нагрузки'!E$5&lt;=('Портрет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0</v>
      </c>
      <c r="F51" s="145">
        <f>IF('Сравнение налоговой нагрузки'!F$5&lt;='Портрет типового резидента'!$E$10,0,IF('Сравнение налоговой нагрузки'!F$5&lt;=('Портрет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G51" s="145">
        <f>IF('Сравнение налоговой нагрузки'!G$5&lt;='Портрет типового резидента'!$E$10,0,IF('Сравнение налоговой нагрузки'!G$5&lt;=('Портрет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H51" s="145">
        <f>IF('Сравнение налоговой нагрузки'!H$5&lt;='Портрет типового резидента'!$E$10,0,IF('Сравнение налоговой нагрузки'!H$5&lt;=('Портрет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I51" s="145">
        <f>IF('Сравнение налоговой нагрузки'!I$5&lt;='Портрет типового резидента'!$E$10,0,IF('Сравнение налоговой нагрузки'!I$5&lt;=('Портрет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J51" s="145">
        <f>IF('Сравнение налоговой нагрузки'!J$5&lt;='Портрет типового резидента'!$E$10,0,IF('Сравнение налоговой нагрузки'!J$5&lt;=('Портрет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71.399080539140826</v>
      </c>
      <c r="K51" s="145">
        <f>IF('Сравнение налоговой нагрузки'!K$5&lt;='Портрет типового резидента'!$E$10,0,IF('Сравнение налоговой нагрузки'!K$5&lt;=('Портрет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L51" s="145">
        <f>IF('Сравнение налоговой нагрузки'!L$5&lt;='Портрет типового резидента'!$E$10,0,IF('Сравнение налоговой нагрузки'!L$5&lt;=('Портрет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M51" s="145">
        <f>IF('Сравнение налоговой нагрузки'!M$5&lt;='Портрет типового резидента'!$E$10,0,IF('Сравнение налоговой нагрузки'!M$5&lt;=('Портрет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N51" s="145">
        <f>IF('Сравнение налоговой нагрузки'!N$5&lt;='Портрет типового резидента'!$E$10,0,IF('Сравнение налоговой нагрузки'!N$5&lt;=('Портрет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O51" s="145">
        <f>IF('Сравнение налоговой нагрузки'!O$5&lt;='Портрет типового резидента'!$E$10,0,IF('Сравнение налоговой нагрузки'!O$5&lt;=('Портрет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P51" s="145">
        <f>IF('Сравнение налоговой нагрузки'!P$5&lt;='Портрет типового резидента'!$E$10,0,IF('Сравнение налоговой нагрузки'!P$5&lt;=('Портрет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Q51" s="145">
        <f>IF('Сравнение налоговой нагрузки'!Q$5&lt;='Портрет типового резидента'!$E$10,0,IF('Сравнение налоговой нагрузки'!Q$5&lt;=('Портрет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R51" s="145">
        <f>IF('Сравнение налоговой нагрузки'!R$5&lt;='Портрет типового резидента'!$E$10,0,IF('Сравнение налоговой нагрузки'!R$5&lt;=('Портрет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S51" s="145">
        <f>IF('Сравнение налоговой нагрузки'!S$5&lt;='Портрет типового резидента'!$E$10,0,IF('Сравнение налоговой нагрузки'!S$5&lt;=('Портрет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T51" s="145">
        <f>IF('Сравнение налоговой нагрузки'!T$5&lt;='Портрет типового резидента'!$E$10,0,IF('Сравнение налоговой нагрузки'!T$5&lt;=('Портрет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U51" s="145">
        <f>IF('Сравнение налоговой нагрузки'!U$5&lt;='Портрет типового резидента'!$E$10,0,IF('Сравнение налоговой нагрузки'!U$5&lt;=('Портрет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V51" s="145">
        <f>IF('Сравнение налоговой нагрузки'!V$5&lt;='Портрет типового резидента'!$E$10,0,IF('Сравнение налоговой нагрузки'!V$5&lt;=('Портрет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W51" s="145">
        <f>IF('Сравнение налоговой нагрузки'!W$5&lt;='Портрет типового резидента'!$E$10,0,IF('Сравнение налоговой нагрузки'!W$5&lt;=('Портрет типового резидента'!$E$10+5),'Портрет типового резидента'!$E$62/'Портрет типового резидента'!$E$26*('Портрет типового резидента'!$E$28-'Портрет типового резидента'!$E$32+'Портрет типового резидента'!$E$33),'Портрет типового резидента'!$E$62/'Портрет типового резидента'!$E$26*'Портрет типового резидента'!$E$28))</f>
        <v>95.198774052187773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</row>
    <row r="52" spans="1:130" s="64" customFormat="1" outlineLevel="1" x14ac:dyDescent="0.25">
      <c r="A52" s="11"/>
      <c r="B52" s="11" t="s">
        <v>122</v>
      </c>
      <c r="C52" s="65">
        <f t="shared" si="16"/>
        <v>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</row>
    <row r="53" spans="1:130" s="64" customFormat="1" outlineLevel="1" x14ac:dyDescent="0.25">
      <c r="A53" s="11"/>
      <c r="B53" s="11" t="s">
        <v>129</v>
      </c>
      <c r="C53" s="65">
        <f t="shared" si="16"/>
        <v>0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</row>
    <row r="54" spans="1:130" s="64" customFormat="1" outlineLevel="1" x14ac:dyDescent="0.25">
      <c r="A54" s="11"/>
      <c r="B54" s="11" t="s">
        <v>123</v>
      </c>
      <c r="C54" s="65">
        <f t="shared" si="16"/>
        <v>2570.4</v>
      </c>
      <c r="D54" s="145">
        <f>IF('Сравнение налоговой нагрузки'!D$5&lt;='Портрет типового резидента'!$E$10,0,'Портрет типового резидента'!$E$41)</f>
        <v>0</v>
      </c>
      <c r="E54" s="145">
        <f>IF('Сравнение налоговой нагрузки'!E$5&lt;='Портрет типового резидента'!$E$10,0,'Портрет типового резидента'!$E$41)</f>
        <v>0</v>
      </c>
      <c r="F54" s="145">
        <f>IF('Сравнение налоговой нагрузки'!F$5&lt;='Портрет типового резидента'!$E$10,0,'Портрет типового резидента'!$E$41)</f>
        <v>142.80000000000001</v>
      </c>
      <c r="G54" s="145">
        <f>IF('Сравнение налоговой нагрузки'!G$5&lt;='Портрет типового резидента'!$E$10,0,'Портрет типового резидента'!$E$41)</f>
        <v>142.80000000000001</v>
      </c>
      <c r="H54" s="145">
        <f>IF('Сравнение налоговой нагрузки'!H$5&lt;='Портрет типового резидента'!$E$10,0,'Портрет типового резидента'!$E$41)</f>
        <v>142.80000000000001</v>
      </c>
      <c r="I54" s="145">
        <f>IF('Сравнение налоговой нагрузки'!I$5&lt;='Портрет типового резидента'!$E$10,0,'Портрет типового резидента'!$E$41)</f>
        <v>142.80000000000001</v>
      </c>
      <c r="J54" s="145">
        <f>IF('Сравнение налоговой нагрузки'!J$5&lt;='Портрет типового резидента'!$E$10,0,'Портрет типового резидента'!$E$41)</f>
        <v>142.80000000000001</v>
      </c>
      <c r="K54" s="145">
        <f>IF('Сравнение налоговой нагрузки'!K$5&lt;='Портрет типового резидента'!$E$10,0,'Портрет типового резидента'!$E$41)</f>
        <v>142.80000000000001</v>
      </c>
      <c r="L54" s="145">
        <f>IF('Сравнение налоговой нагрузки'!L$5&lt;='Портрет типового резидента'!$E$10,0,'Портрет типового резидента'!$E$41)</f>
        <v>142.80000000000001</v>
      </c>
      <c r="M54" s="145">
        <f>IF('Сравнение налоговой нагрузки'!M$5&lt;='Портрет типового резидента'!$E$10,0,'Портрет типового резидента'!$E$41)</f>
        <v>142.80000000000001</v>
      </c>
      <c r="N54" s="145">
        <f>IF('Сравнение налоговой нагрузки'!N$5&lt;='Портрет типового резидента'!$E$10,0,'Портрет типового резидента'!$E$41)</f>
        <v>142.80000000000001</v>
      </c>
      <c r="O54" s="145">
        <f>IF('Сравнение налоговой нагрузки'!O$5&lt;='Портрет типового резидента'!$E$10,0,'Портрет типового резидента'!$E$41)</f>
        <v>142.80000000000001</v>
      </c>
      <c r="P54" s="145">
        <f>IF('Сравнение налоговой нагрузки'!P$5&lt;='Портрет типового резидента'!$E$10,0,'Портрет типового резидента'!$E$41)</f>
        <v>142.80000000000001</v>
      </c>
      <c r="Q54" s="145">
        <f>IF('Сравнение налоговой нагрузки'!Q$5&lt;='Портрет типового резидента'!$E$10,0,'Портрет типового резидента'!$E$41)</f>
        <v>142.80000000000001</v>
      </c>
      <c r="R54" s="145">
        <f>IF('Сравнение налоговой нагрузки'!R$5&lt;='Портрет типового резидента'!$E$10,0,'Портрет типового резидента'!$E$41)</f>
        <v>142.80000000000001</v>
      </c>
      <c r="S54" s="145">
        <f>IF('Сравнение налоговой нагрузки'!S$5&lt;='Портрет типового резидента'!$E$10,0,'Портрет типового резидента'!$E$41)</f>
        <v>142.80000000000001</v>
      </c>
      <c r="T54" s="145">
        <f>IF('Сравнение налоговой нагрузки'!T$5&lt;='Портрет типового резидента'!$E$10,0,'Портрет типового резидента'!$E$41)</f>
        <v>142.80000000000001</v>
      </c>
      <c r="U54" s="145">
        <f>IF('Сравнение налоговой нагрузки'!U$5&lt;='Портрет типового резидента'!$E$10,0,'Портрет типового резидента'!$E$41)</f>
        <v>142.80000000000001</v>
      </c>
      <c r="V54" s="145">
        <f>IF('Сравнение налоговой нагрузки'!V$5&lt;='Портрет типового резидента'!$E$10,0,'Портрет типового резидента'!$E$41)</f>
        <v>142.80000000000001</v>
      </c>
      <c r="W54" s="145">
        <f>IF('Сравнение налоговой нагрузки'!W$5&lt;='Портрет типового резидента'!$E$10,0,'Портрет типового резидента'!$E$41)</f>
        <v>142.80000000000001</v>
      </c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</row>
    <row r="55" spans="1:130" s="64" customFormat="1" outlineLevel="1" x14ac:dyDescent="0.25">
      <c r="A55" s="11"/>
      <c r="B55" s="11" t="s">
        <v>124</v>
      </c>
      <c r="C55" s="65">
        <f t="shared" si="16"/>
        <v>982.8000000000003</v>
      </c>
      <c r="D55" s="145">
        <f>IF('Сравнение налоговой нагрузки'!D$5&lt;='Портрет типового резидента'!$E$10,0,'Портрет типового резидента'!$E$38*Налогообложение!$E$19)</f>
        <v>0</v>
      </c>
      <c r="E55" s="145">
        <f>IF('Сравнение налоговой нагрузки'!E$5&lt;='Портрет типового резидента'!$E$10,0,'Портрет типового резидента'!$E$38*Налогообложение!$E$19)</f>
        <v>0</v>
      </c>
      <c r="F55" s="145">
        <f>IF('Сравнение налоговой нагрузки'!F$5&lt;='Портрет типового резидента'!$E$10,0,'Портрет типового резидента'!$E$38*Налогообложение!$E$19)</f>
        <v>54.6</v>
      </c>
      <c r="G55" s="145">
        <f>IF('Сравнение налоговой нагрузки'!G$5&lt;='Портрет типового резидента'!$E$10,0,'Портрет типового резидента'!$E$38*Налогообложение!$E$19)</f>
        <v>54.6</v>
      </c>
      <c r="H55" s="145">
        <f>IF('Сравнение налоговой нагрузки'!H$5&lt;='Портрет типового резидента'!$E$10,0,'Портрет типового резидента'!$E$38*Налогообложение!$E$19)</f>
        <v>54.6</v>
      </c>
      <c r="I55" s="145">
        <f>IF('Сравнение налоговой нагрузки'!I$5&lt;='Портрет типового резидента'!$E$10,0,'Портрет типового резидента'!$E$38*Налогообложение!$E$19)</f>
        <v>54.6</v>
      </c>
      <c r="J55" s="145">
        <f>IF('Сравнение налоговой нагрузки'!J$5&lt;='Портрет типового резидента'!$E$10,0,'Портрет типового резидента'!$E$38*Налогообложение!$E$19)</f>
        <v>54.6</v>
      </c>
      <c r="K55" s="145">
        <f>IF('Сравнение налоговой нагрузки'!K$5&lt;='Портрет типового резидента'!$E$10,0,'Портрет типового резидента'!$E$38*Налогообложение!$E$19)</f>
        <v>54.6</v>
      </c>
      <c r="L55" s="145">
        <f>IF('Сравнение налоговой нагрузки'!L$5&lt;='Портрет типового резидента'!$E$10,0,'Портрет типового резидента'!$E$38*Налогообложение!$E$19)</f>
        <v>54.6</v>
      </c>
      <c r="M55" s="145">
        <f>IF('Сравнение налоговой нагрузки'!M$5&lt;='Портрет типового резидента'!$E$10,0,'Портрет типового резидента'!$E$38*Налогообложение!$E$19)</f>
        <v>54.6</v>
      </c>
      <c r="N55" s="145">
        <f>IF('Сравнение налоговой нагрузки'!N$5&lt;='Портрет типового резидента'!$E$10,0,'Портрет типового резидента'!$E$38*Налогообложение!$E$19)</f>
        <v>54.6</v>
      </c>
      <c r="O55" s="145">
        <f>IF('Сравнение налоговой нагрузки'!O$5&lt;='Портрет типового резидента'!$E$10,0,'Портрет типового резидента'!$E$38*Налогообложение!$E$19)</f>
        <v>54.6</v>
      </c>
      <c r="P55" s="145">
        <f>IF('Сравнение налоговой нагрузки'!P$5&lt;='Портрет типового резидента'!$E$10,0,'Портрет типового резидента'!$E$38*Налогообложение!$E$19)</f>
        <v>54.6</v>
      </c>
      <c r="Q55" s="145">
        <f>IF('Сравнение налоговой нагрузки'!Q$5&lt;='Портрет типового резидента'!$E$10,0,'Портрет типового резидента'!$E$38*Налогообложение!$E$19)</f>
        <v>54.6</v>
      </c>
      <c r="R55" s="145">
        <f>IF('Сравнение налоговой нагрузки'!R$5&lt;='Портрет типового резидента'!$E$10,0,'Портрет типового резидента'!$E$38*Налогообложение!$E$19)</f>
        <v>54.6</v>
      </c>
      <c r="S55" s="145">
        <f>IF('Сравнение налоговой нагрузки'!S$5&lt;='Портрет типового резидента'!$E$10,0,'Портрет типового резидента'!$E$38*Налогообложение!$E$19)</f>
        <v>54.6</v>
      </c>
      <c r="T55" s="145">
        <f>IF('Сравнение налоговой нагрузки'!T$5&lt;='Портрет типового резидента'!$E$10,0,'Портрет типового резидента'!$E$38*Налогообложение!$E$19)</f>
        <v>54.6</v>
      </c>
      <c r="U55" s="145">
        <f>IF('Сравнение налоговой нагрузки'!U$5&lt;='Портрет типового резидента'!$E$10,0,'Портрет типового резидента'!$E$38*Налогообложение!$E$19)</f>
        <v>54.6</v>
      </c>
      <c r="V55" s="145">
        <f>IF('Сравнение налоговой нагрузки'!V$5&lt;='Портрет типового резидента'!$E$10,0,'Портрет типового резидента'!$E$38*Налогообложение!$E$19)</f>
        <v>54.6</v>
      </c>
      <c r="W55" s="145">
        <f>IF('Сравнение налоговой нагрузки'!W$5&lt;='Портрет типового резидента'!$E$10,0,'Портрет типового резидента'!$E$38*Налогообложение!$E$19)</f>
        <v>54.6</v>
      </c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</row>
    <row r="56" spans="1:130" s="64" customFormat="1" outlineLevel="1" x14ac:dyDescent="0.25">
      <c r="A56" s="11"/>
      <c r="B56" s="11" t="s">
        <v>130</v>
      </c>
      <c r="C56" s="65">
        <f t="shared" si="16"/>
        <v>1440</v>
      </c>
      <c r="D56" s="72">
        <f>D57+D58</f>
        <v>0</v>
      </c>
      <c r="E56" s="72">
        <f t="shared" ref="E56:W56" si="18">E57+E58</f>
        <v>0</v>
      </c>
      <c r="F56" s="72">
        <f t="shared" si="18"/>
        <v>80</v>
      </c>
      <c r="G56" s="72">
        <f t="shared" si="18"/>
        <v>80</v>
      </c>
      <c r="H56" s="72">
        <f t="shared" si="18"/>
        <v>80</v>
      </c>
      <c r="I56" s="72">
        <f t="shared" si="18"/>
        <v>80</v>
      </c>
      <c r="J56" s="72">
        <f t="shared" si="18"/>
        <v>80</v>
      </c>
      <c r="K56" s="72">
        <f t="shared" si="18"/>
        <v>80</v>
      </c>
      <c r="L56" s="72">
        <f t="shared" si="18"/>
        <v>80</v>
      </c>
      <c r="M56" s="72">
        <f t="shared" si="18"/>
        <v>80</v>
      </c>
      <c r="N56" s="72">
        <f t="shared" si="18"/>
        <v>80</v>
      </c>
      <c r="O56" s="72">
        <f t="shared" si="18"/>
        <v>80</v>
      </c>
      <c r="P56" s="72">
        <f t="shared" si="18"/>
        <v>80</v>
      </c>
      <c r="Q56" s="72">
        <f t="shared" si="18"/>
        <v>80</v>
      </c>
      <c r="R56" s="72">
        <f t="shared" si="18"/>
        <v>80</v>
      </c>
      <c r="S56" s="72">
        <f t="shared" si="18"/>
        <v>80</v>
      </c>
      <c r="T56" s="72">
        <f t="shared" si="18"/>
        <v>80</v>
      </c>
      <c r="U56" s="72">
        <f t="shared" si="18"/>
        <v>80</v>
      </c>
      <c r="V56" s="72">
        <f t="shared" si="18"/>
        <v>80</v>
      </c>
      <c r="W56" s="72">
        <f t="shared" si="18"/>
        <v>80</v>
      </c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</row>
    <row r="57" spans="1:130" s="63" customFormat="1" outlineLevel="1" x14ac:dyDescent="0.25">
      <c r="A57" s="15"/>
      <c r="B57" s="15" t="s">
        <v>127</v>
      </c>
      <c r="C57" s="66">
        <f t="shared" si="16"/>
        <v>1440</v>
      </c>
      <c r="D57" s="142">
        <f>IF('Сравнение налоговой нагрузки'!D$5&lt;='Портрет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E57" s="142">
        <f>IF('Сравнение налоговой нагрузки'!E$5&lt;='Портрет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0</v>
      </c>
      <c r="F57" s="142">
        <f>IF('Сравнение налоговой нагрузки'!F$5&lt;='Портрет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G57" s="142">
        <f>IF('Сравнение налоговой нагрузки'!G$5&lt;='Портрет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H57" s="142">
        <f>IF('Сравнение налоговой нагрузки'!H$5&lt;='Портрет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I57" s="142">
        <f>IF('Сравнение налоговой нагрузки'!I$5&lt;='Портрет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J57" s="142">
        <f>IF('Сравнение налоговой нагрузки'!J$5&lt;='Портрет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K57" s="142">
        <f>IF('Сравнение налоговой нагрузки'!K$5&lt;='Портрет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L57" s="142">
        <f>IF('Сравнение налоговой нагрузки'!L$5&lt;='Портрет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M57" s="142">
        <f>IF('Сравнение налоговой нагрузки'!M$5&lt;='Портрет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N57" s="142">
        <f>IF('Сравнение налоговой нагрузки'!N$5&lt;='Портрет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O57" s="142">
        <f>IF('Сравнение налоговой нагрузки'!O$5&lt;='Портрет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P57" s="142">
        <f>IF('Сравнение налоговой нагрузки'!P$5&lt;='Портрет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Q57" s="142">
        <f>IF('Сравнение налоговой нагрузки'!Q$5&lt;='Портрет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R57" s="142">
        <f>IF('Сравнение налоговой нагрузки'!R$5&lt;='Портрет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S57" s="142">
        <f>IF('Сравнение налоговой нагрузки'!S$5&lt;='Портрет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T57" s="142">
        <f>IF('Сравнение налоговой нагрузки'!T$5&lt;='Портрет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U57" s="142">
        <f>IF('Сравнение налоговой нагрузки'!U$5&lt;='Портрет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V57" s="142">
        <f>IF('Сравнение налоговой нагрузки'!V$5&lt;='Портрет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W57" s="142">
        <f>IF('Сравнение налоговой нагрузки'!W$5&lt;='Портрет типового резидента'!$E$10,0,'Портрет типового резидента'!$E$50*('Портрет типового резидента'!$E$26-'Портрет типового резидента'!$E$30)/'Портрет типового резидента'!$E$26)</f>
        <v>80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</row>
    <row r="58" spans="1:130" s="63" customFormat="1" outlineLevel="1" x14ac:dyDescent="0.25">
      <c r="A58" s="15"/>
      <c r="B58" s="69" t="s">
        <v>128</v>
      </c>
      <c r="C58" s="67">
        <f t="shared" si="16"/>
        <v>0</v>
      </c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</row>
    <row r="59" spans="1:130" s="1" customFormat="1" x14ac:dyDescent="0.25">
      <c r="C59" s="71"/>
      <c r="D59" s="71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130" s="1" customFormat="1" x14ac:dyDescent="0.25"/>
    <row r="61" spans="1:130" s="1" customFormat="1" x14ac:dyDescent="0.25"/>
    <row r="62" spans="1:130" s="1" customFormat="1" x14ac:dyDescent="0.25"/>
    <row r="63" spans="1:130" s="1" customFormat="1" x14ac:dyDescent="0.25"/>
    <row r="64" spans="1:130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</sheetData>
  <mergeCells count="4">
    <mergeCell ref="C4:C5"/>
    <mergeCell ref="D4:W4"/>
    <mergeCell ref="B4:B5"/>
    <mergeCell ref="B2:O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O750"/>
  <sheetViews>
    <sheetView topLeftCell="A4" workbookViewId="0">
      <pane ySplit="4" topLeftCell="A8" activePane="bottomLeft" state="frozen"/>
      <selection activeCell="A4" sqref="A4"/>
      <selection pane="bottomLeft" activeCell="F35" sqref="F35"/>
    </sheetView>
  </sheetViews>
  <sheetFormatPr defaultRowHeight="15" x14ac:dyDescent="0.25"/>
  <cols>
    <col min="1" max="1" width="2.140625" style="1" customWidth="1"/>
    <col min="2" max="2" width="3.85546875" style="1" customWidth="1"/>
    <col min="3" max="3" width="41.28515625" bestFit="1" customWidth="1"/>
    <col min="24" max="145" width="8.85546875" style="1"/>
  </cols>
  <sheetData>
    <row r="1" spans="1:145" s="1" customFormat="1" x14ac:dyDescent="0.25"/>
    <row r="2" spans="1:145" s="1" customFormat="1" x14ac:dyDescent="0.25"/>
    <row r="3" spans="1:145" s="1" customFormat="1" x14ac:dyDescent="0.25"/>
    <row r="4" spans="1:145" s="1" customFormat="1" ht="18.75" x14ac:dyDescent="0.3">
      <c r="C4" s="268" t="s">
        <v>143</v>
      </c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45" s="1" customFormat="1" ht="15.75" x14ac:dyDescent="0.25">
      <c r="N5" s="74" t="s">
        <v>34</v>
      </c>
    </row>
    <row r="6" spans="1:145" x14ac:dyDescent="0.25">
      <c r="C6" s="235" t="s">
        <v>20</v>
      </c>
      <c r="D6" s="238" t="s">
        <v>133</v>
      </c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9"/>
    </row>
    <row r="7" spans="1:145" x14ac:dyDescent="0.25">
      <c r="C7" s="236"/>
      <c r="D7" s="163">
        <v>1</v>
      </c>
      <c r="E7" s="163">
        <f>D7+1</f>
        <v>2</v>
      </c>
      <c r="F7" s="163">
        <f t="shared" ref="F7:V7" si="0">E7+1</f>
        <v>3</v>
      </c>
      <c r="G7" s="163">
        <f t="shared" si="0"/>
        <v>4</v>
      </c>
      <c r="H7" s="163">
        <f t="shared" si="0"/>
        <v>5</v>
      </c>
      <c r="I7" s="163">
        <f t="shared" si="0"/>
        <v>6</v>
      </c>
      <c r="J7" s="163">
        <f t="shared" si="0"/>
        <v>7</v>
      </c>
      <c r="K7" s="163">
        <f t="shared" si="0"/>
        <v>8</v>
      </c>
      <c r="L7" s="163">
        <f t="shared" si="0"/>
        <v>9</v>
      </c>
      <c r="M7" s="163">
        <f t="shared" si="0"/>
        <v>10</v>
      </c>
      <c r="N7" s="163">
        <f t="shared" si="0"/>
        <v>11</v>
      </c>
      <c r="O7" s="163">
        <f t="shared" si="0"/>
        <v>12</v>
      </c>
      <c r="P7" s="163">
        <f t="shared" si="0"/>
        <v>13</v>
      </c>
      <c r="Q7" s="163">
        <f t="shared" si="0"/>
        <v>14</v>
      </c>
      <c r="R7" s="163">
        <f t="shared" si="0"/>
        <v>15</v>
      </c>
      <c r="S7" s="163">
        <f t="shared" si="0"/>
        <v>16</v>
      </c>
      <c r="T7" s="163">
        <f t="shared" si="0"/>
        <v>17</v>
      </c>
      <c r="U7" s="163">
        <f t="shared" si="0"/>
        <v>18</v>
      </c>
      <c r="V7" s="163">
        <f t="shared" si="0"/>
        <v>19</v>
      </c>
      <c r="W7" s="164">
        <f>V7+1</f>
        <v>20</v>
      </c>
    </row>
    <row r="8" spans="1:145" x14ac:dyDescent="0.25">
      <c r="C8" s="206" t="str">
        <f>'Сравнение налоговой нагрузки'!B6</f>
        <v>Стандартная система налогообложения</v>
      </c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</row>
    <row r="9" spans="1:145" x14ac:dyDescent="0.25">
      <c r="C9" s="17" t="s">
        <v>135</v>
      </c>
      <c r="D9" s="72"/>
      <c r="E9" s="72"/>
      <c r="F9" s="72">
        <f>'Портрет типового резидента'!E26</f>
        <v>5000</v>
      </c>
      <c r="G9" s="72">
        <f>F9</f>
        <v>5000</v>
      </c>
      <c r="H9" s="72">
        <f t="shared" ref="H9:W9" si="1">G9</f>
        <v>5000</v>
      </c>
      <c r="I9" s="72">
        <f t="shared" si="1"/>
        <v>5000</v>
      </c>
      <c r="J9" s="72">
        <f t="shared" si="1"/>
        <v>5000</v>
      </c>
      <c r="K9" s="72">
        <f t="shared" si="1"/>
        <v>5000</v>
      </c>
      <c r="L9" s="72">
        <f t="shared" si="1"/>
        <v>5000</v>
      </c>
      <c r="M9" s="72">
        <f t="shared" si="1"/>
        <v>5000</v>
      </c>
      <c r="N9" s="72">
        <f t="shared" si="1"/>
        <v>5000</v>
      </c>
      <c r="O9" s="72">
        <f t="shared" si="1"/>
        <v>5000</v>
      </c>
      <c r="P9" s="72">
        <f t="shared" si="1"/>
        <v>5000</v>
      </c>
      <c r="Q9" s="72">
        <f t="shared" si="1"/>
        <v>5000</v>
      </c>
      <c r="R9" s="72">
        <f t="shared" si="1"/>
        <v>5000</v>
      </c>
      <c r="S9" s="72">
        <f t="shared" si="1"/>
        <v>5000</v>
      </c>
      <c r="T9" s="72">
        <f t="shared" si="1"/>
        <v>5000</v>
      </c>
      <c r="U9" s="72">
        <f t="shared" si="1"/>
        <v>5000</v>
      </c>
      <c r="V9" s="72">
        <f t="shared" si="1"/>
        <v>5000</v>
      </c>
      <c r="W9" s="72">
        <f t="shared" si="1"/>
        <v>5000</v>
      </c>
    </row>
    <row r="10" spans="1:145" s="63" customFormat="1" x14ac:dyDescent="0.25">
      <c r="A10" s="15"/>
      <c r="B10" s="15"/>
      <c r="C10" s="18" t="s">
        <v>136</v>
      </c>
      <c r="D10" s="71"/>
      <c r="E10" s="71"/>
      <c r="F10" s="71">
        <f>'Портрет типового резидента'!E35</f>
        <v>3565.0153243476529</v>
      </c>
      <c r="G10" s="71">
        <f>F10</f>
        <v>3565.0153243476529</v>
      </c>
      <c r="H10" s="71">
        <f t="shared" ref="H10:W10" si="2">G10</f>
        <v>3565.0153243476529</v>
      </c>
      <c r="I10" s="71">
        <f t="shared" si="2"/>
        <v>3565.0153243476529</v>
      </c>
      <c r="J10" s="71">
        <f t="shared" si="2"/>
        <v>3565.0153243476529</v>
      </c>
      <c r="K10" s="71">
        <f t="shared" si="2"/>
        <v>3565.0153243476529</v>
      </c>
      <c r="L10" s="71">
        <f t="shared" si="2"/>
        <v>3565.0153243476529</v>
      </c>
      <c r="M10" s="71">
        <f t="shared" si="2"/>
        <v>3565.0153243476529</v>
      </c>
      <c r="N10" s="71">
        <f t="shared" si="2"/>
        <v>3565.0153243476529</v>
      </c>
      <c r="O10" s="71">
        <f t="shared" si="2"/>
        <v>3565.0153243476529</v>
      </c>
      <c r="P10" s="71">
        <f t="shared" si="2"/>
        <v>3565.0153243476529</v>
      </c>
      <c r="Q10" s="71">
        <f t="shared" si="2"/>
        <v>3565.0153243476529</v>
      </c>
      <c r="R10" s="71">
        <f t="shared" si="2"/>
        <v>3565.0153243476529</v>
      </c>
      <c r="S10" s="71">
        <f t="shared" si="2"/>
        <v>3565.0153243476529</v>
      </c>
      <c r="T10" s="71">
        <f t="shared" si="2"/>
        <v>3565.0153243476529</v>
      </c>
      <c r="U10" s="71">
        <f t="shared" si="2"/>
        <v>3565.0153243476529</v>
      </c>
      <c r="V10" s="71">
        <f t="shared" si="2"/>
        <v>3565.0153243476529</v>
      </c>
      <c r="W10" s="71">
        <f t="shared" si="2"/>
        <v>3565.0153243476529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</row>
    <row r="11" spans="1:145" x14ac:dyDescent="0.25">
      <c r="C11" s="17" t="s">
        <v>137</v>
      </c>
      <c r="D11" s="71"/>
      <c r="E11" s="71"/>
      <c r="F11" s="72">
        <f>F9-F10</f>
        <v>1434.9846756523471</v>
      </c>
      <c r="G11" s="72">
        <f t="shared" ref="G11:W11" si="3">G9-G10</f>
        <v>1434.9846756523471</v>
      </c>
      <c r="H11" s="72">
        <f t="shared" si="3"/>
        <v>1434.9846756523471</v>
      </c>
      <c r="I11" s="72">
        <f t="shared" si="3"/>
        <v>1434.9846756523471</v>
      </c>
      <c r="J11" s="72">
        <f t="shared" si="3"/>
        <v>1434.9846756523471</v>
      </c>
      <c r="K11" s="72">
        <f t="shared" si="3"/>
        <v>1434.9846756523471</v>
      </c>
      <c r="L11" s="72">
        <f t="shared" si="3"/>
        <v>1434.9846756523471</v>
      </c>
      <c r="M11" s="72">
        <f t="shared" si="3"/>
        <v>1434.9846756523471</v>
      </c>
      <c r="N11" s="72">
        <f t="shared" si="3"/>
        <v>1434.9846756523471</v>
      </c>
      <c r="O11" s="72">
        <f t="shared" si="3"/>
        <v>1434.9846756523471</v>
      </c>
      <c r="P11" s="72">
        <f t="shared" si="3"/>
        <v>1434.9846756523471</v>
      </c>
      <c r="Q11" s="72">
        <f t="shared" si="3"/>
        <v>1434.9846756523471</v>
      </c>
      <c r="R11" s="72">
        <f t="shared" si="3"/>
        <v>1434.9846756523471</v>
      </c>
      <c r="S11" s="72">
        <f t="shared" si="3"/>
        <v>1434.9846756523471</v>
      </c>
      <c r="T11" s="72">
        <f t="shared" si="3"/>
        <v>1434.9846756523471</v>
      </c>
      <c r="U11" s="72">
        <f t="shared" si="3"/>
        <v>1434.9846756523471</v>
      </c>
      <c r="V11" s="72">
        <f t="shared" si="3"/>
        <v>1434.9846756523471</v>
      </c>
      <c r="W11" s="72">
        <f t="shared" si="3"/>
        <v>1434.9846756523471</v>
      </c>
    </row>
    <row r="12" spans="1:145" s="63" customFormat="1" x14ac:dyDescent="0.25">
      <c r="A12" s="15"/>
      <c r="B12" s="15"/>
      <c r="C12" s="18" t="s">
        <v>138</v>
      </c>
      <c r="D12" s="79"/>
      <c r="E12" s="79"/>
      <c r="F12" s="71">
        <f>'Портрет типового резидента'!E55</f>
        <v>245.00000000000003</v>
      </c>
      <c r="G12" s="71">
        <f>F12</f>
        <v>245.00000000000003</v>
      </c>
      <c r="H12" s="71">
        <f t="shared" ref="H12:W12" si="4">G12</f>
        <v>245.00000000000003</v>
      </c>
      <c r="I12" s="71">
        <f t="shared" si="4"/>
        <v>245.00000000000003</v>
      </c>
      <c r="J12" s="71">
        <f t="shared" si="4"/>
        <v>245.00000000000003</v>
      </c>
      <c r="K12" s="71">
        <f t="shared" si="4"/>
        <v>245.00000000000003</v>
      </c>
      <c r="L12" s="71">
        <f t="shared" si="4"/>
        <v>245.00000000000003</v>
      </c>
      <c r="M12" s="71">
        <f t="shared" si="4"/>
        <v>245.00000000000003</v>
      </c>
      <c r="N12" s="71">
        <f t="shared" si="4"/>
        <v>245.00000000000003</v>
      </c>
      <c r="O12" s="71">
        <f t="shared" si="4"/>
        <v>245.00000000000003</v>
      </c>
      <c r="P12" s="71">
        <f t="shared" si="4"/>
        <v>245.00000000000003</v>
      </c>
      <c r="Q12" s="71">
        <f t="shared" si="4"/>
        <v>245.00000000000003</v>
      </c>
      <c r="R12" s="71">
        <f t="shared" si="4"/>
        <v>245.00000000000003</v>
      </c>
      <c r="S12" s="71">
        <f t="shared" si="4"/>
        <v>245.00000000000003</v>
      </c>
      <c r="T12" s="71">
        <f t="shared" si="4"/>
        <v>245.00000000000003</v>
      </c>
      <c r="U12" s="71">
        <f t="shared" si="4"/>
        <v>245.00000000000003</v>
      </c>
      <c r="V12" s="71">
        <f t="shared" si="4"/>
        <v>245.00000000000003</v>
      </c>
      <c r="W12" s="71">
        <f t="shared" si="4"/>
        <v>245.00000000000003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</row>
    <row r="13" spans="1:145" x14ac:dyDescent="0.25">
      <c r="C13" s="17" t="s">
        <v>139</v>
      </c>
      <c r="D13" s="72"/>
      <c r="E13" s="72"/>
      <c r="F13" s="72">
        <f>F11-F12</f>
        <v>1189.9846756523471</v>
      </c>
      <c r="G13" s="72">
        <f t="shared" ref="G13:W13" si="5">G11-G12</f>
        <v>1189.9846756523471</v>
      </c>
      <c r="H13" s="72">
        <f t="shared" si="5"/>
        <v>1189.9846756523471</v>
      </c>
      <c r="I13" s="72">
        <f t="shared" si="5"/>
        <v>1189.9846756523471</v>
      </c>
      <c r="J13" s="72">
        <f t="shared" si="5"/>
        <v>1189.9846756523471</v>
      </c>
      <c r="K13" s="72">
        <f t="shared" si="5"/>
        <v>1189.9846756523471</v>
      </c>
      <c r="L13" s="72">
        <f t="shared" si="5"/>
        <v>1189.9846756523471</v>
      </c>
      <c r="M13" s="72">
        <f t="shared" si="5"/>
        <v>1189.9846756523471</v>
      </c>
      <c r="N13" s="72">
        <f t="shared" si="5"/>
        <v>1189.9846756523471</v>
      </c>
      <c r="O13" s="72">
        <f t="shared" si="5"/>
        <v>1189.9846756523471</v>
      </c>
      <c r="P13" s="72">
        <f t="shared" si="5"/>
        <v>1189.9846756523471</v>
      </c>
      <c r="Q13" s="72">
        <f t="shared" si="5"/>
        <v>1189.9846756523471</v>
      </c>
      <c r="R13" s="72">
        <f t="shared" si="5"/>
        <v>1189.9846756523471</v>
      </c>
      <c r="S13" s="72">
        <f t="shared" si="5"/>
        <v>1189.9846756523471</v>
      </c>
      <c r="T13" s="72">
        <f t="shared" si="5"/>
        <v>1189.9846756523471</v>
      </c>
      <c r="U13" s="72">
        <f t="shared" si="5"/>
        <v>1189.9846756523471</v>
      </c>
      <c r="V13" s="72">
        <f t="shared" si="5"/>
        <v>1189.9846756523471</v>
      </c>
      <c r="W13" s="72">
        <f t="shared" si="5"/>
        <v>1189.9846756523471</v>
      </c>
    </row>
    <row r="14" spans="1:145" s="63" customFormat="1" x14ac:dyDescent="0.25">
      <c r="A14" s="15"/>
      <c r="B14" s="15"/>
      <c r="C14" s="18" t="s">
        <v>140</v>
      </c>
      <c r="D14" s="79"/>
      <c r="E14" s="79"/>
      <c r="F14" s="71">
        <f>'Сравнение налоговой нагрузки'!F10</f>
        <v>237.99693513046941</v>
      </c>
      <c r="G14" s="71">
        <f>'Сравнение налоговой нагрузки'!G10</f>
        <v>237.99693513046941</v>
      </c>
      <c r="H14" s="71">
        <f>'Сравнение налоговой нагрузки'!H10</f>
        <v>237.99693513046941</v>
      </c>
      <c r="I14" s="71">
        <f>'Сравнение налоговой нагрузки'!I10</f>
        <v>237.99693513046941</v>
      </c>
      <c r="J14" s="71">
        <f>'Сравнение налоговой нагрузки'!J10</f>
        <v>237.99693513046941</v>
      </c>
      <c r="K14" s="71">
        <f>'Сравнение налоговой нагрузки'!K10</f>
        <v>237.99693513046941</v>
      </c>
      <c r="L14" s="71">
        <f>'Сравнение налоговой нагрузки'!L10</f>
        <v>237.99693513046941</v>
      </c>
      <c r="M14" s="71">
        <f>'Сравнение налоговой нагрузки'!M10</f>
        <v>237.99693513046941</v>
      </c>
      <c r="N14" s="71">
        <f>'Сравнение налоговой нагрузки'!N10</f>
        <v>237.99693513046941</v>
      </c>
      <c r="O14" s="71">
        <f>'Сравнение налоговой нагрузки'!O10</f>
        <v>237.99693513046941</v>
      </c>
      <c r="P14" s="71">
        <f>'Сравнение налоговой нагрузки'!P10</f>
        <v>237.99693513046941</v>
      </c>
      <c r="Q14" s="71">
        <f>'Сравнение налоговой нагрузки'!Q10</f>
        <v>237.99693513046941</v>
      </c>
      <c r="R14" s="71">
        <f>'Сравнение налоговой нагрузки'!R10</f>
        <v>237.99693513046941</v>
      </c>
      <c r="S14" s="71">
        <f>'Сравнение налоговой нагрузки'!S10</f>
        <v>237.99693513046941</v>
      </c>
      <c r="T14" s="71">
        <f>'Сравнение налоговой нагрузки'!T10</f>
        <v>237.99693513046941</v>
      </c>
      <c r="U14" s="71">
        <f>'Сравнение налоговой нагрузки'!U10</f>
        <v>237.99693513046941</v>
      </c>
      <c r="V14" s="71">
        <f>'Сравнение налоговой нагрузки'!V10</f>
        <v>237.99693513046941</v>
      </c>
      <c r="W14" s="71">
        <f>'Сравнение налоговой нагрузки'!W10</f>
        <v>237.99693513046941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</row>
    <row r="15" spans="1:145" x14ac:dyDescent="0.25">
      <c r="C15" s="17" t="s">
        <v>141</v>
      </c>
      <c r="D15" s="72"/>
      <c r="E15" s="72"/>
      <c r="F15" s="72">
        <f>F13-F14</f>
        <v>951.98774052187764</v>
      </c>
      <c r="G15" s="72">
        <f t="shared" ref="G15:W15" si="6">G13-G14</f>
        <v>951.98774052187764</v>
      </c>
      <c r="H15" s="72">
        <f t="shared" si="6"/>
        <v>951.98774052187764</v>
      </c>
      <c r="I15" s="72">
        <f t="shared" si="6"/>
        <v>951.98774052187764</v>
      </c>
      <c r="J15" s="72">
        <f t="shared" si="6"/>
        <v>951.98774052187764</v>
      </c>
      <c r="K15" s="72">
        <f t="shared" si="6"/>
        <v>951.98774052187764</v>
      </c>
      <c r="L15" s="72">
        <f t="shared" si="6"/>
        <v>951.98774052187764</v>
      </c>
      <c r="M15" s="72">
        <f t="shared" si="6"/>
        <v>951.98774052187764</v>
      </c>
      <c r="N15" s="72">
        <f t="shared" si="6"/>
        <v>951.98774052187764</v>
      </c>
      <c r="O15" s="72">
        <f t="shared" si="6"/>
        <v>951.98774052187764</v>
      </c>
      <c r="P15" s="72">
        <f t="shared" si="6"/>
        <v>951.98774052187764</v>
      </c>
      <c r="Q15" s="72">
        <f t="shared" si="6"/>
        <v>951.98774052187764</v>
      </c>
      <c r="R15" s="72">
        <f t="shared" si="6"/>
        <v>951.98774052187764</v>
      </c>
      <c r="S15" s="72">
        <f t="shared" si="6"/>
        <v>951.98774052187764</v>
      </c>
      <c r="T15" s="72">
        <f t="shared" si="6"/>
        <v>951.98774052187764</v>
      </c>
      <c r="U15" s="72">
        <f t="shared" si="6"/>
        <v>951.98774052187764</v>
      </c>
      <c r="V15" s="72">
        <f t="shared" si="6"/>
        <v>951.98774052187764</v>
      </c>
      <c r="W15" s="72">
        <f t="shared" si="6"/>
        <v>951.98774052187764</v>
      </c>
    </row>
    <row r="16" spans="1:145" s="78" customFormat="1" x14ac:dyDescent="0.25">
      <c r="A16" s="77"/>
      <c r="B16" s="77"/>
      <c r="C16" s="208" t="s">
        <v>142</v>
      </c>
      <c r="D16" s="209"/>
      <c r="E16" s="209"/>
      <c r="F16" s="210">
        <f>F15/F9</f>
        <v>0.19039754810437554</v>
      </c>
      <c r="G16" s="210">
        <f t="shared" ref="G16:W16" si="7">G15/G9</f>
        <v>0.19039754810437554</v>
      </c>
      <c r="H16" s="210">
        <f t="shared" si="7"/>
        <v>0.19039754810437554</v>
      </c>
      <c r="I16" s="210">
        <f t="shared" si="7"/>
        <v>0.19039754810437554</v>
      </c>
      <c r="J16" s="210">
        <f t="shared" si="7"/>
        <v>0.19039754810437554</v>
      </c>
      <c r="K16" s="210">
        <f t="shared" si="7"/>
        <v>0.19039754810437554</v>
      </c>
      <c r="L16" s="210">
        <f t="shared" si="7"/>
        <v>0.19039754810437554</v>
      </c>
      <c r="M16" s="210">
        <f t="shared" si="7"/>
        <v>0.19039754810437554</v>
      </c>
      <c r="N16" s="210">
        <f t="shared" si="7"/>
        <v>0.19039754810437554</v>
      </c>
      <c r="O16" s="210">
        <f t="shared" si="7"/>
        <v>0.19039754810437554</v>
      </c>
      <c r="P16" s="210">
        <f t="shared" si="7"/>
        <v>0.19039754810437554</v>
      </c>
      <c r="Q16" s="210">
        <f t="shared" si="7"/>
        <v>0.19039754810437554</v>
      </c>
      <c r="R16" s="210">
        <f t="shared" si="7"/>
        <v>0.19039754810437554</v>
      </c>
      <c r="S16" s="210">
        <f t="shared" si="7"/>
        <v>0.19039754810437554</v>
      </c>
      <c r="T16" s="210">
        <f t="shared" si="7"/>
        <v>0.19039754810437554</v>
      </c>
      <c r="U16" s="210">
        <f t="shared" si="7"/>
        <v>0.19039754810437554</v>
      </c>
      <c r="V16" s="210">
        <f t="shared" si="7"/>
        <v>0.19039754810437554</v>
      </c>
      <c r="W16" s="210">
        <f t="shared" si="7"/>
        <v>0.19039754810437554</v>
      </c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</row>
    <row r="17" spans="1:145" x14ac:dyDescent="0.25">
      <c r="C17" s="20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145" x14ac:dyDescent="0.25">
      <c r="C18" s="207" t="str">
        <f>'Сравнение налоговой нагрузки'!B19</f>
        <v>Свободная экономическая зона</v>
      </c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</row>
    <row r="19" spans="1:145" x14ac:dyDescent="0.25">
      <c r="C19" s="17" t="s">
        <v>135</v>
      </c>
      <c r="D19" s="72"/>
      <c r="E19" s="72"/>
      <c r="F19" s="72">
        <f>F9</f>
        <v>5000</v>
      </c>
      <c r="G19" s="72">
        <f t="shared" ref="G19:W19" si="8">G9</f>
        <v>5000</v>
      </c>
      <c r="H19" s="72">
        <f t="shared" si="8"/>
        <v>5000</v>
      </c>
      <c r="I19" s="72">
        <f t="shared" si="8"/>
        <v>5000</v>
      </c>
      <c r="J19" s="72">
        <f t="shared" si="8"/>
        <v>5000</v>
      </c>
      <c r="K19" s="72">
        <f t="shared" si="8"/>
        <v>5000</v>
      </c>
      <c r="L19" s="72">
        <f t="shared" si="8"/>
        <v>5000</v>
      </c>
      <c r="M19" s="72">
        <f t="shared" si="8"/>
        <v>5000</v>
      </c>
      <c r="N19" s="72">
        <f t="shared" si="8"/>
        <v>5000</v>
      </c>
      <c r="O19" s="72">
        <f t="shared" si="8"/>
        <v>5000</v>
      </c>
      <c r="P19" s="72">
        <f t="shared" si="8"/>
        <v>5000</v>
      </c>
      <c r="Q19" s="72">
        <f t="shared" si="8"/>
        <v>5000</v>
      </c>
      <c r="R19" s="72">
        <f t="shared" si="8"/>
        <v>5000</v>
      </c>
      <c r="S19" s="72">
        <f t="shared" si="8"/>
        <v>5000</v>
      </c>
      <c r="T19" s="72">
        <f t="shared" si="8"/>
        <v>5000</v>
      </c>
      <c r="U19" s="72">
        <f t="shared" si="8"/>
        <v>5000</v>
      </c>
      <c r="V19" s="72">
        <f t="shared" si="8"/>
        <v>5000</v>
      </c>
      <c r="W19" s="72">
        <f t="shared" si="8"/>
        <v>5000</v>
      </c>
    </row>
    <row r="20" spans="1:145" s="63" customFormat="1" x14ac:dyDescent="0.25">
      <c r="A20" s="15"/>
      <c r="B20" s="15"/>
      <c r="C20" s="18" t="s">
        <v>136</v>
      </c>
      <c r="D20" s="71"/>
      <c r="E20" s="71"/>
      <c r="F20" s="71">
        <f>F10-('Сравнение налоговой нагрузки'!F11-'Сравнение налоговой нагрузки'!F24)-('Сравнение налоговой нагрузки'!F12-'Сравнение налоговой нагрузки'!F25)-('Сравнение налоговой нагрузки'!F13-'Сравнение налоговой нагрузки'!F26)-('Сравнение налоговой нагрузки'!F16-'Сравнение налоговой нагрузки'!F29)</f>
        <v>3500.3</v>
      </c>
      <c r="G20" s="71">
        <f>G10-('Сравнение налоговой нагрузки'!G11-'Сравнение налоговой нагрузки'!G24)-('Сравнение налоговой нагрузки'!G12-'Сравнение налоговой нагрузки'!G25)-('Сравнение налоговой нагрузки'!G13-'Сравнение налоговой нагрузки'!G26)-('Сравнение налоговой нагрузки'!G16-'Сравнение налоговой нагрузки'!G29)</f>
        <v>3500.3</v>
      </c>
      <c r="H20" s="71">
        <f>H10-('Сравнение налоговой нагрузки'!H11-'Сравнение налоговой нагрузки'!H24)-('Сравнение налоговой нагрузки'!H12-'Сравнение налоговой нагрузки'!H25)-('Сравнение налоговой нагрузки'!H13-'Сравнение налоговой нагрузки'!H26)-('Сравнение налоговой нагрузки'!H16-'Сравнение налоговой нагрузки'!H29)</f>
        <v>3500.3</v>
      </c>
      <c r="I20" s="71">
        <f>I10-('Сравнение налоговой нагрузки'!I11-'Сравнение налоговой нагрузки'!I24)-('Сравнение налоговой нагрузки'!I12-'Сравнение налоговой нагрузки'!I25)-('Сравнение налоговой нагрузки'!I13-'Сравнение налоговой нагрузки'!I26)-('Сравнение налоговой нагрузки'!I16-'Сравнение налоговой нагрузки'!I29)</f>
        <v>3500.3</v>
      </c>
      <c r="J20" s="71">
        <f>J10-('Сравнение налоговой нагрузки'!J11-'Сравнение налоговой нагрузки'!J24)-('Сравнение налоговой нагрузки'!J12-'Сравнение налоговой нагрузки'!J25)-('Сравнение налоговой нагрузки'!J13-'Сравнение налоговой нагрузки'!J26)-('Сравнение налоговой нагрузки'!J16-'Сравнение налоговой нагрузки'!J29)</f>
        <v>3500.3</v>
      </c>
      <c r="K20" s="71">
        <f>K10-('Сравнение налоговой нагрузки'!K11-'Сравнение налоговой нагрузки'!K24)-('Сравнение налоговой нагрузки'!K12-'Сравнение налоговой нагрузки'!K25)-('Сравнение налоговой нагрузки'!K13-'Сравнение налоговой нагрузки'!K26)-('Сравнение налоговой нагрузки'!K16-'Сравнение налоговой нагрузки'!K29)</f>
        <v>3500.3</v>
      </c>
      <c r="L20" s="71">
        <f>L10-('Сравнение налоговой нагрузки'!L11-'Сравнение налоговой нагрузки'!L24)-('Сравнение налоговой нагрузки'!L12-'Сравнение налоговой нагрузки'!L25)-('Сравнение налоговой нагрузки'!L13-'Сравнение налоговой нагрузки'!L26)-('Сравнение налоговой нагрузки'!L16-'Сравнение налоговой нагрузки'!L29)</f>
        <v>3500.3</v>
      </c>
      <c r="M20" s="71">
        <f>M10-('Сравнение налоговой нагрузки'!M11-'Сравнение налоговой нагрузки'!M24)-('Сравнение налоговой нагрузки'!M12-'Сравнение налоговой нагрузки'!M25)-('Сравнение налоговой нагрузки'!M13-'Сравнение налоговой нагрузки'!M26)-('Сравнение налоговой нагрузки'!M16-'Сравнение налоговой нагрузки'!M29)</f>
        <v>3500.3</v>
      </c>
      <c r="N20" s="71">
        <f>N10-('Сравнение налоговой нагрузки'!N11-'Сравнение налоговой нагрузки'!N24)-('Сравнение налоговой нагрузки'!N12-'Сравнение налоговой нагрузки'!N25)-('Сравнение налоговой нагрузки'!N13-'Сравнение налоговой нагрузки'!N26)-('Сравнение налоговой нагрузки'!N16-'Сравнение налоговой нагрузки'!N29)</f>
        <v>3500.3</v>
      </c>
      <c r="O20" s="71">
        <f>O10-('Сравнение налоговой нагрузки'!O11-'Сравнение налоговой нагрузки'!O24)-('Сравнение налоговой нагрузки'!O12-'Сравнение налоговой нагрузки'!O25)-('Сравнение налоговой нагрузки'!O13-'Сравнение налоговой нагрузки'!O26)-('Сравнение налоговой нагрузки'!O16-'Сравнение налоговой нагрузки'!O29)</f>
        <v>3500.3</v>
      </c>
      <c r="P20" s="71">
        <f>P10-('Сравнение налоговой нагрузки'!P11-'Сравнение налоговой нагрузки'!P24)-('Сравнение налоговой нагрузки'!P12-'Сравнение налоговой нагрузки'!P25)-('Сравнение налоговой нагрузки'!P13-'Сравнение налоговой нагрузки'!P26)-('Сравнение налоговой нагрузки'!P16-'Сравнение налоговой нагрузки'!P29)</f>
        <v>3500.3</v>
      </c>
      <c r="Q20" s="71">
        <f>Q10-('Сравнение налоговой нагрузки'!Q11-'Сравнение налоговой нагрузки'!Q24)-('Сравнение налоговой нагрузки'!Q12-'Сравнение налоговой нагрузки'!Q25)-('Сравнение налоговой нагрузки'!Q13-'Сравнение налоговой нагрузки'!Q26)-('Сравнение налоговой нагрузки'!Q16-'Сравнение налоговой нагрузки'!Q29)</f>
        <v>3500.3</v>
      </c>
      <c r="R20" s="71">
        <f>R10-('Сравнение налоговой нагрузки'!R11-'Сравнение налоговой нагрузки'!R24)-('Сравнение налоговой нагрузки'!R12-'Сравнение налоговой нагрузки'!R25)-('Сравнение налоговой нагрузки'!R13-'Сравнение налоговой нагрузки'!R26)-('Сравнение налоговой нагрузки'!R16-'Сравнение налоговой нагрузки'!R29)</f>
        <v>3500.3</v>
      </c>
      <c r="S20" s="71">
        <f>S10-('Сравнение налоговой нагрузки'!S11-'Сравнение налоговой нагрузки'!S24)-('Сравнение налоговой нагрузки'!S12-'Сравнение налоговой нагрузки'!S25)-('Сравнение налоговой нагрузки'!S13-'Сравнение налоговой нагрузки'!S26)-('Сравнение налоговой нагрузки'!S16-'Сравнение налоговой нагрузки'!S29)</f>
        <v>3500.3</v>
      </c>
      <c r="T20" s="71">
        <f>T10-('Сравнение налоговой нагрузки'!T11-'Сравнение налоговой нагрузки'!T24)-('Сравнение налоговой нагрузки'!T12-'Сравнение налоговой нагрузки'!T25)-('Сравнение налоговой нагрузки'!T13-'Сравнение налоговой нагрузки'!T26)-('Сравнение налоговой нагрузки'!T16-'Сравнение налоговой нагрузки'!T29)</f>
        <v>3500.3</v>
      </c>
      <c r="U20" s="71">
        <f>U10-('Сравнение налоговой нагрузки'!U11-'Сравнение налоговой нагрузки'!U24)-('Сравнение налоговой нагрузки'!U12-'Сравнение налоговой нагрузки'!U25)-('Сравнение налоговой нагрузки'!U13-'Сравнение налоговой нагрузки'!U26)-('Сравнение налоговой нагрузки'!U16-'Сравнение налоговой нагрузки'!U29)</f>
        <v>3500.3</v>
      </c>
      <c r="V20" s="71">
        <f>V10-('Сравнение налоговой нагрузки'!V11-'Сравнение налоговой нагрузки'!V24)-('Сравнение налоговой нагрузки'!V12-'Сравнение налоговой нагрузки'!V25)-('Сравнение налоговой нагрузки'!V13-'Сравнение налоговой нагрузки'!V26)-('Сравнение налоговой нагрузки'!V16-'Сравнение налоговой нагрузки'!V29)</f>
        <v>3500.3</v>
      </c>
      <c r="W20" s="71">
        <f>W10-('Сравнение налоговой нагрузки'!W11-'Сравнение налоговой нагрузки'!W24)-('Сравнение налоговой нагрузки'!W12-'Сравнение налоговой нагрузки'!W25)-('Сравнение налоговой нагрузки'!W13-'Сравнение налоговой нагрузки'!W26)-('Сравнение налоговой нагрузки'!W16-'Сравнение налоговой нагрузки'!W29)</f>
        <v>3500.3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</row>
    <row r="21" spans="1:145" x14ac:dyDescent="0.25">
      <c r="C21" s="17" t="s">
        <v>137</v>
      </c>
      <c r="D21" s="71"/>
      <c r="E21" s="71"/>
      <c r="F21" s="72">
        <f>F19-F20</f>
        <v>1499.6999999999998</v>
      </c>
      <c r="G21" s="72">
        <f t="shared" ref="G21:W21" si="9">G19-G20</f>
        <v>1499.6999999999998</v>
      </c>
      <c r="H21" s="72">
        <f t="shared" si="9"/>
        <v>1499.6999999999998</v>
      </c>
      <c r="I21" s="72">
        <f t="shared" si="9"/>
        <v>1499.6999999999998</v>
      </c>
      <c r="J21" s="72">
        <f t="shared" si="9"/>
        <v>1499.6999999999998</v>
      </c>
      <c r="K21" s="72">
        <f t="shared" si="9"/>
        <v>1499.6999999999998</v>
      </c>
      <c r="L21" s="72">
        <f t="shared" si="9"/>
        <v>1499.6999999999998</v>
      </c>
      <c r="M21" s="72">
        <f t="shared" si="9"/>
        <v>1499.6999999999998</v>
      </c>
      <c r="N21" s="72">
        <f t="shared" si="9"/>
        <v>1499.6999999999998</v>
      </c>
      <c r="O21" s="72">
        <f t="shared" si="9"/>
        <v>1499.6999999999998</v>
      </c>
      <c r="P21" s="72">
        <f t="shared" si="9"/>
        <v>1499.6999999999998</v>
      </c>
      <c r="Q21" s="72">
        <f t="shared" si="9"/>
        <v>1499.6999999999998</v>
      </c>
      <c r="R21" s="72">
        <f t="shared" si="9"/>
        <v>1499.6999999999998</v>
      </c>
      <c r="S21" s="72">
        <f t="shared" si="9"/>
        <v>1499.6999999999998</v>
      </c>
      <c r="T21" s="72">
        <f t="shared" si="9"/>
        <v>1499.6999999999998</v>
      </c>
      <c r="U21" s="72">
        <f t="shared" si="9"/>
        <v>1499.6999999999998</v>
      </c>
      <c r="V21" s="72">
        <f t="shared" si="9"/>
        <v>1499.6999999999998</v>
      </c>
      <c r="W21" s="72">
        <f t="shared" si="9"/>
        <v>1499.6999999999998</v>
      </c>
    </row>
    <row r="22" spans="1:145" s="63" customFormat="1" x14ac:dyDescent="0.25">
      <c r="A22" s="15"/>
      <c r="B22" s="15"/>
      <c r="C22" s="18" t="s">
        <v>138</v>
      </c>
      <c r="D22" s="79"/>
      <c r="E22" s="79"/>
      <c r="F22" s="71">
        <f>F12</f>
        <v>245.00000000000003</v>
      </c>
      <c r="G22" s="71">
        <f t="shared" ref="G22:W22" si="10">G12</f>
        <v>245.00000000000003</v>
      </c>
      <c r="H22" s="71">
        <f t="shared" si="10"/>
        <v>245.00000000000003</v>
      </c>
      <c r="I22" s="71">
        <f t="shared" si="10"/>
        <v>245.00000000000003</v>
      </c>
      <c r="J22" s="71">
        <f t="shared" si="10"/>
        <v>245.00000000000003</v>
      </c>
      <c r="K22" s="71">
        <f t="shared" si="10"/>
        <v>245.00000000000003</v>
      </c>
      <c r="L22" s="71">
        <f t="shared" si="10"/>
        <v>245.00000000000003</v>
      </c>
      <c r="M22" s="71">
        <f t="shared" si="10"/>
        <v>245.00000000000003</v>
      </c>
      <c r="N22" s="71">
        <f t="shared" si="10"/>
        <v>245.00000000000003</v>
      </c>
      <c r="O22" s="71">
        <f t="shared" si="10"/>
        <v>245.00000000000003</v>
      </c>
      <c r="P22" s="71">
        <f t="shared" si="10"/>
        <v>245.00000000000003</v>
      </c>
      <c r="Q22" s="71">
        <f t="shared" si="10"/>
        <v>245.00000000000003</v>
      </c>
      <c r="R22" s="71">
        <f t="shared" si="10"/>
        <v>245.00000000000003</v>
      </c>
      <c r="S22" s="71">
        <f t="shared" si="10"/>
        <v>245.00000000000003</v>
      </c>
      <c r="T22" s="71">
        <f t="shared" si="10"/>
        <v>245.00000000000003</v>
      </c>
      <c r="U22" s="71">
        <f t="shared" si="10"/>
        <v>245.00000000000003</v>
      </c>
      <c r="V22" s="71">
        <f t="shared" si="10"/>
        <v>245.00000000000003</v>
      </c>
      <c r="W22" s="71">
        <f t="shared" si="10"/>
        <v>245.00000000000003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</row>
    <row r="23" spans="1:145" x14ac:dyDescent="0.25">
      <c r="C23" s="17" t="s">
        <v>139</v>
      </c>
      <c r="D23" s="72"/>
      <c r="E23" s="72"/>
      <c r="F23" s="72">
        <f>F21-F22</f>
        <v>1254.6999999999998</v>
      </c>
      <c r="G23" s="72">
        <f t="shared" ref="G23:W23" si="11">G21-G22</f>
        <v>1254.6999999999998</v>
      </c>
      <c r="H23" s="72">
        <f t="shared" si="11"/>
        <v>1254.6999999999998</v>
      </c>
      <c r="I23" s="72">
        <f t="shared" si="11"/>
        <v>1254.6999999999998</v>
      </c>
      <c r="J23" s="72">
        <f t="shared" si="11"/>
        <v>1254.6999999999998</v>
      </c>
      <c r="K23" s="72">
        <f t="shared" si="11"/>
        <v>1254.6999999999998</v>
      </c>
      <c r="L23" s="72">
        <f t="shared" si="11"/>
        <v>1254.6999999999998</v>
      </c>
      <c r="M23" s="72">
        <f t="shared" si="11"/>
        <v>1254.6999999999998</v>
      </c>
      <c r="N23" s="72">
        <f t="shared" si="11"/>
        <v>1254.6999999999998</v>
      </c>
      <c r="O23" s="72">
        <f t="shared" si="11"/>
        <v>1254.6999999999998</v>
      </c>
      <c r="P23" s="72">
        <f t="shared" si="11"/>
        <v>1254.6999999999998</v>
      </c>
      <c r="Q23" s="72">
        <f t="shared" si="11"/>
        <v>1254.6999999999998</v>
      </c>
      <c r="R23" s="72">
        <f t="shared" si="11"/>
        <v>1254.6999999999998</v>
      </c>
      <c r="S23" s="72">
        <f t="shared" si="11"/>
        <v>1254.6999999999998</v>
      </c>
      <c r="T23" s="72">
        <f t="shared" si="11"/>
        <v>1254.6999999999998</v>
      </c>
      <c r="U23" s="72">
        <f t="shared" si="11"/>
        <v>1254.6999999999998</v>
      </c>
      <c r="V23" s="72">
        <f t="shared" si="11"/>
        <v>1254.6999999999998</v>
      </c>
      <c r="W23" s="72">
        <f t="shared" si="11"/>
        <v>1254.6999999999998</v>
      </c>
    </row>
    <row r="24" spans="1:145" s="63" customFormat="1" x14ac:dyDescent="0.25">
      <c r="A24" s="15"/>
      <c r="B24" s="15"/>
      <c r="C24" s="18" t="s">
        <v>140</v>
      </c>
      <c r="D24" s="71"/>
      <c r="E24" s="71"/>
      <c r="F24" s="71">
        <f>'Сравнение налоговой нагрузки'!F23</f>
        <v>95.198774052187773</v>
      </c>
      <c r="G24" s="71">
        <f>'Сравнение налоговой нагрузки'!G23</f>
        <v>95.198774052187773</v>
      </c>
      <c r="H24" s="71">
        <f>'Сравнение налоговой нагрузки'!H23</f>
        <v>95.198774052187773</v>
      </c>
      <c r="I24" s="71">
        <f>'Сравнение налоговой нагрузки'!I23</f>
        <v>95.198774052187773</v>
      </c>
      <c r="J24" s="71">
        <f>'Сравнение налоговой нагрузки'!J23</f>
        <v>95.198774052187773</v>
      </c>
      <c r="K24" s="71">
        <f>'Сравнение налоговой нагрузки'!K23</f>
        <v>95.198774052187773</v>
      </c>
      <c r="L24" s="71">
        <f>'Сравнение налоговой нагрузки'!L23</f>
        <v>95.198774052187773</v>
      </c>
      <c r="M24" s="71">
        <f>'Сравнение налоговой нагрузки'!M23</f>
        <v>95.198774052187773</v>
      </c>
      <c r="N24" s="71">
        <f>'Сравнение налоговой нагрузки'!N23</f>
        <v>95.198774052187773</v>
      </c>
      <c r="O24" s="71">
        <f>'Сравнение налоговой нагрузки'!O23</f>
        <v>95.198774052187773</v>
      </c>
      <c r="P24" s="71">
        <f>'Сравнение налоговой нагрузки'!P23</f>
        <v>95.198774052187773</v>
      </c>
      <c r="Q24" s="71">
        <f>'Сравнение налоговой нагрузки'!Q23</f>
        <v>95.198774052187773</v>
      </c>
      <c r="R24" s="71">
        <f>'Сравнение налоговой нагрузки'!R23</f>
        <v>95.198774052187773</v>
      </c>
      <c r="S24" s="71">
        <f>'Сравнение налоговой нагрузки'!S23</f>
        <v>95.198774052187773</v>
      </c>
      <c r="T24" s="71">
        <f>'Сравнение налоговой нагрузки'!T23</f>
        <v>95.198774052187773</v>
      </c>
      <c r="U24" s="71">
        <f>'Сравнение налоговой нагрузки'!U23</f>
        <v>95.198774052187773</v>
      </c>
      <c r="V24" s="71">
        <f>'Сравнение налоговой нагрузки'!V23</f>
        <v>95.198774052187773</v>
      </c>
      <c r="W24" s="71">
        <f>'Сравнение налоговой нагрузки'!W23</f>
        <v>95.198774052187773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</row>
    <row r="25" spans="1:145" s="64" customFormat="1" x14ac:dyDescent="0.25">
      <c r="A25" s="11"/>
      <c r="B25" s="11"/>
      <c r="C25" s="17" t="s">
        <v>141</v>
      </c>
      <c r="D25" s="72"/>
      <c r="E25" s="72"/>
      <c r="F25" s="72">
        <f>F23-F24</f>
        <v>1159.5012259478121</v>
      </c>
      <c r="G25" s="72">
        <f t="shared" ref="G25:W25" si="12">G23-G24</f>
        <v>1159.5012259478121</v>
      </c>
      <c r="H25" s="72">
        <f t="shared" si="12"/>
        <v>1159.5012259478121</v>
      </c>
      <c r="I25" s="72">
        <f t="shared" si="12"/>
        <v>1159.5012259478121</v>
      </c>
      <c r="J25" s="72">
        <f t="shared" si="12"/>
        <v>1159.5012259478121</v>
      </c>
      <c r="K25" s="72">
        <f t="shared" si="12"/>
        <v>1159.5012259478121</v>
      </c>
      <c r="L25" s="72">
        <f t="shared" si="12"/>
        <v>1159.5012259478121</v>
      </c>
      <c r="M25" s="72">
        <f t="shared" si="12"/>
        <v>1159.5012259478121</v>
      </c>
      <c r="N25" s="72">
        <f t="shared" si="12"/>
        <v>1159.5012259478121</v>
      </c>
      <c r="O25" s="72">
        <f t="shared" si="12"/>
        <v>1159.5012259478121</v>
      </c>
      <c r="P25" s="72">
        <f t="shared" si="12"/>
        <v>1159.5012259478121</v>
      </c>
      <c r="Q25" s="72">
        <f t="shared" si="12"/>
        <v>1159.5012259478121</v>
      </c>
      <c r="R25" s="72">
        <f t="shared" si="12"/>
        <v>1159.5012259478121</v>
      </c>
      <c r="S25" s="72">
        <f t="shared" si="12"/>
        <v>1159.5012259478121</v>
      </c>
      <c r="T25" s="72">
        <f t="shared" si="12"/>
        <v>1159.5012259478121</v>
      </c>
      <c r="U25" s="72">
        <f t="shared" si="12"/>
        <v>1159.5012259478121</v>
      </c>
      <c r="V25" s="72">
        <f t="shared" si="12"/>
        <v>1159.5012259478121</v>
      </c>
      <c r="W25" s="72">
        <f t="shared" si="12"/>
        <v>1159.5012259478121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</row>
    <row r="26" spans="1:145" x14ac:dyDescent="0.25">
      <c r="C26" s="211" t="s">
        <v>142</v>
      </c>
      <c r="D26" s="212"/>
      <c r="E26" s="212"/>
      <c r="F26" s="213">
        <f>F25/F19</f>
        <v>0.23190024518956243</v>
      </c>
      <c r="G26" s="213">
        <f t="shared" ref="G26:T26" si="13">G25/G19</f>
        <v>0.23190024518956243</v>
      </c>
      <c r="H26" s="213">
        <f t="shared" si="13"/>
        <v>0.23190024518956243</v>
      </c>
      <c r="I26" s="213">
        <f t="shared" si="13"/>
        <v>0.23190024518956243</v>
      </c>
      <c r="J26" s="213">
        <f t="shared" si="13"/>
        <v>0.23190024518956243</v>
      </c>
      <c r="K26" s="213">
        <f t="shared" si="13"/>
        <v>0.23190024518956243</v>
      </c>
      <c r="L26" s="213">
        <f t="shared" si="13"/>
        <v>0.23190024518956243</v>
      </c>
      <c r="M26" s="213">
        <f t="shared" si="13"/>
        <v>0.23190024518956243</v>
      </c>
      <c r="N26" s="213">
        <f t="shared" si="13"/>
        <v>0.23190024518956243</v>
      </c>
      <c r="O26" s="213">
        <f t="shared" si="13"/>
        <v>0.23190024518956243</v>
      </c>
      <c r="P26" s="213">
        <f t="shared" si="13"/>
        <v>0.23190024518956243</v>
      </c>
      <c r="Q26" s="213">
        <f t="shared" si="13"/>
        <v>0.23190024518956243</v>
      </c>
      <c r="R26" s="213">
        <f t="shared" si="13"/>
        <v>0.23190024518956243</v>
      </c>
      <c r="S26" s="213">
        <f t="shared" si="13"/>
        <v>0.23190024518956243</v>
      </c>
      <c r="T26" s="213">
        <f t="shared" si="13"/>
        <v>0.23190024518956243</v>
      </c>
      <c r="U26" s="213">
        <f t="shared" ref="U26" si="14">U25/U19</f>
        <v>0.23190024518956243</v>
      </c>
      <c r="V26" s="213">
        <f t="shared" ref="V26" si="15">V25/V19</f>
        <v>0.23190024518956243</v>
      </c>
      <c r="W26" s="213">
        <f t="shared" ref="W26" si="16">W25/W19</f>
        <v>0.23190024518956243</v>
      </c>
    </row>
    <row r="27" spans="1:145" x14ac:dyDescent="0.25">
      <c r="C27" s="17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</row>
    <row r="28" spans="1:145" x14ac:dyDescent="0.25">
      <c r="C28" s="207" t="str">
        <f>'Сравнение налоговой нагрузки'!B32</f>
        <v>Инвестиционный договор</v>
      </c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</row>
    <row r="29" spans="1:145" x14ac:dyDescent="0.25">
      <c r="C29" s="17" t="s">
        <v>135</v>
      </c>
      <c r="D29" s="76"/>
      <c r="E29" s="76"/>
      <c r="F29" s="76">
        <f>F19</f>
        <v>5000</v>
      </c>
      <c r="G29" s="76">
        <f t="shared" ref="G29:W29" si="17">G19</f>
        <v>5000</v>
      </c>
      <c r="H29" s="76">
        <f t="shared" si="17"/>
        <v>5000</v>
      </c>
      <c r="I29" s="76">
        <f t="shared" si="17"/>
        <v>5000</v>
      </c>
      <c r="J29" s="76">
        <f t="shared" si="17"/>
        <v>5000</v>
      </c>
      <c r="K29" s="76">
        <f t="shared" si="17"/>
        <v>5000</v>
      </c>
      <c r="L29" s="76">
        <f t="shared" si="17"/>
        <v>5000</v>
      </c>
      <c r="M29" s="76">
        <f t="shared" si="17"/>
        <v>5000</v>
      </c>
      <c r="N29" s="76">
        <f t="shared" si="17"/>
        <v>5000</v>
      </c>
      <c r="O29" s="76">
        <f t="shared" si="17"/>
        <v>5000</v>
      </c>
      <c r="P29" s="76">
        <f t="shared" si="17"/>
        <v>5000</v>
      </c>
      <c r="Q29" s="76">
        <f t="shared" si="17"/>
        <v>5000</v>
      </c>
      <c r="R29" s="76">
        <f t="shared" si="17"/>
        <v>5000</v>
      </c>
      <c r="S29" s="76">
        <f t="shared" si="17"/>
        <v>5000</v>
      </c>
      <c r="T29" s="76">
        <f t="shared" si="17"/>
        <v>5000</v>
      </c>
      <c r="U29" s="76">
        <f t="shared" si="17"/>
        <v>5000</v>
      </c>
      <c r="V29" s="76">
        <f t="shared" si="17"/>
        <v>5000</v>
      </c>
      <c r="W29" s="76">
        <f t="shared" si="17"/>
        <v>5000</v>
      </c>
    </row>
    <row r="30" spans="1:145" x14ac:dyDescent="0.25">
      <c r="C30" s="10" t="s">
        <v>136</v>
      </c>
      <c r="D30" s="71"/>
      <c r="E30" s="71"/>
      <c r="F30" s="71">
        <f>'Сравнение финпоказателей'!F10-('Сравнение налоговой нагрузки'!F12-'Сравнение налоговой нагрузки'!F38)</f>
        <v>3552.8</v>
      </c>
      <c r="G30" s="71">
        <f>'Сравнение финпоказателей'!G10-('Сравнение налоговой нагрузки'!G12-'Сравнение налоговой нагрузки'!G38)</f>
        <v>3565.0153243476529</v>
      </c>
      <c r="H30" s="71">
        <f>'Сравнение финпоказателей'!H10-('Сравнение налоговой нагрузки'!H12-'Сравнение налоговой нагрузки'!H38)</f>
        <v>3565.0153243476529</v>
      </c>
      <c r="I30" s="71">
        <f>'Сравнение финпоказателей'!I10-('Сравнение налоговой нагрузки'!I12-'Сравнение налоговой нагрузки'!I38)</f>
        <v>3565.0153243476529</v>
      </c>
      <c r="J30" s="71">
        <f>'Сравнение финпоказателей'!J10-('Сравнение налоговой нагрузки'!J12-'Сравнение налоговой нагрузки'!J38)</f>
        <v>3565.0153243476529</v>
      </c>
      <c r="K30" s="71">
        <f>'Сравнение финпоказателей'!K10-('Сравнение налоговой нагрузки'!K12-'Сравнение налоговой нагрузки'!K38)</f>
        <v>3565.0153243476529</v>
      </c>
      <c r="L30" s="71">
        <f>'Сравнение финпоказателей'!L10-('Сравнение налоговой нагрузки'!L12-'Сравнение налоговой нагрузки'!L38)</f>
        <v>3565.0153243476529</v>
      </c>
      <c r="M30" s="71">
        <f>'Сравнение финпоказателей'!M10-('Сравнение налоговой нагрузки'!M12-'Сравнение налоговой нагрузки'!M38)</f>
        <v>3565.0153243476529</v>
      </c>
      <c r="N30" s="71">
        <f>'Сравнение финпоказателей'!N10-('Сравнение налоговой нагрузки'!N12-'Сравнение налоговой нагрузки'!N38)</f>
        <v>3565.0153243476529</v>
      </c>
      <c r="O30" s="71">
        <f>'Сравнение финпоказателей'!O10-('Сравнение налоговой нагрузки'!O12-'Сравнение налоговой нагрузки'!O38)</f>
        <v>3565.0153243476529</v>
      </c>
      <c r="P30" s="71">
        <f>'Сравнение финпоказателей'!P10-('Сравнение налоговой нагрузки'!P12-'Сравнение налоговой нагрузки'!P38)</f>
        <v>3565.0153243476529</v>
      </c>
      <c r="Q30" s="71">
        <f>'Сравнение финпоказателей'!Q10-('Сравнение налоговой нагрузки'!Q12-'Сравнение налоговой нагрузки'!Q38)</f>
        <v>3565.0153243476529</v>
      </c>
      <c r="R30" s="71">
        <f>'Сравнение финпоказателей'!R10-('Сравнение налоговой нагрузки'!R12-'Сравнение налоговой нагрузки'!R38)</f>
        <v>3565.0153243476529</v>
      </c>
      <c r="S30" s="71">
        <f>'Сравнение финпоказателей'!S10-('Сравнение налоговой нагрузки'!S12-'Сравнение налоговой нагрузки'!S38)</f>
        <v>3565.0153243476529</v>
      </c>
      <c r="T30" s="71">
        <f>'Сравнение финпоказателей'!T10-('Сравнение налоговой нагрузки'!T12-'Сравнение налоговой нагрузки'!T38)</f>
        <v>3565.0153243476529</v>
      </c>
      <c r="U30" s="71">
        <f>'Сравнение финпоказателей'!U10-('Сравнение налоговой нагрузки'!U12-'Сравнение налоговой нагрузки'!U38)</f>
        <v>3565.0153243476529</v>
      </c>
      <c r="V30" s="71">
        <f>'Сравнение финпоказателей'!V10-('Сравнение налоговой нагрузки'!V12-'Сравнение налоговой нагрузки'!V38)</f>
        <v>3565.0153243476529</v>
      </c>
      <c r="W30" s="71">
        <f>'Сравнение финпоказателей'!W10-('Сравнение налоговой нагрузки'!W12-'Сравнение налоговой нагрузки'!W38)</f>
        <v>3565.0153243476529</v>
      </c>
    </row>
    <row r="31" spans="1:145" x14ac:dyDescent="0.25">
      <c r="C31" s="17" t="s">
        <v>137</v>
      </c>
      <c r="D31" s="71"/>
      <c r="E31" s="71"/>
      <c r="F31" s="72">
        <f>F29-F30</f>
        <v>1447.1999999999998</v>
      </c>
      <c r="G31" s="72">
        <f t="shared" ref="G31:W31" si="18">G29-G30</f>
        <v>1434.9846756523471</v>
      </c>
      <c r="H31" s="72">
        <f t="shared" si="18"/>
        <v>1434.9846756523471</v>
      </c>
      <c r="I31" s="72">
        <f t="shared" si="18"/>
        <v>1434.9846756523471</v>
      </c>
      <c r="J31" s="72">
        <f t="shared" si="18"/>
        <v>1434.9846756523471</v>
      </c>
      <c r="K31" s="72">
        <f t="shared" si="18"/>
        <v>1434.9846756523471</v>
      </c>
      <c r="L31" s="72">
        <f t="shared" si="18"/>
        <v>1434.9846756523471</v>
      </c>
      <c r="M31" s="72">
        <f t="shared" si="18"/>
        <v>1434.9846756523471</v>
      </c>
      <c r="N31" s="72">
        <f t="shared" si="18"/>
        <v>1434.9846756523471</v>
      </c>
      <c r="O31" s="72">
        <f t="shared" si="18"/>
        <v>1434.9846756523471</v>
      </c>
      <c r="P31" s="72">
        <f t="shared" si="18"/>
        <v>1434.9846756523471</v>
      </c>
      <c r="Q31" s="72">
        <f t="shared" si="18"/>
        <v>1434.9846756523471</v>
      </c>
      <c r="R31" s="72">
        <f t="shared" si="18"/>
        <v>1434.9846756523471</v>
      </c>
      <c r="S31" s="72">
        <f t="shared" si="18"/>
        <v>1434.9846756523471</v>
      </c>
      <c r="T31" s="72">
        <f t="shared" si="18"/>
        <v>1434.9846756523471</v>
      </c>
      <c r="U31" s="72">
        <f t="shared" si="18"/>
        <v>1434.9846756523471</v>
      </c>
      <c r="V31" s="72">
        <f t="shared" si="18"/>
        <v>1434.9846756523471</v>
      </c>
      <c r="W31" s="72">
        <f t="shared" si="18"/>
        <v>1434.9846756523471</v>
      </c>
    </row>
    <row r="32" spans="1:145" x14ac:dyDescent="0.25">
      <c r="C32" s="10" t="s">
        <v>138</v>
      </c>
      <c r="D32" s="72"/>
      <c r="E32" s="72"/>
      <c r="F32" s="71">
        <f>F22</f>
        <v>245.00000000000003</v>
      </c>
      <c r="G32" s="71">
        <f t="shared" ref="G32:W32" si="19">G22</f>
        <v>245.00000000000003</v>
      </c>
      <c r="H32" s="71">
        <f t="shared" si="19"/>
        <v>245.00000000000003</v>
      </c>
      <c r="I32" s="71">
        <f t="shared" si="19"/>
        <v>245.00000000000003</v>
      </c>
      <c r="J32" s="71">
        <f t="shared" si="19"/>
        <v>245.00000000000003</v>
      </c>
      <c r="K32" s="71">
        <f t="shared" si="19"/>
        <v>245.00000000000003</v>
      </c>
      <c r="L32" s="71">
        <f t="shared" si="19"/>
        <v>245.00000000000003</v>
      </c>
      <c r="M32" s="71">
        <f t="shared" si="19"/>
        <v>245.00000000000003</v>
      </c>
      <c r="N32" s="71">
        <f t="shared" si="19"/>
        <v>245.00000000000003</v>
      </c>
      <c r="O32" s="71">
        <f t="shared" si="19"/>
        <v>245.00000000000003</v>
      </c>
      <c r="P32" s="71">
        <f t="shared" si="19"/>
        <v>245.00000000000003</v>
      </c>
      <c r="Q32" s="71">
        <f t="shared" si="19"/>
        <v>245.00000000000003</v>
      </c>
      <c r="R32" s="71">
        <f t="shared" si="19"/>
        <v>245.00000000000003</v>
      </c>
      <c r="S32" s="71">
        <f t="shared" si="19"/>
        <v>245.00000000000003</v>
      </c>
      <c r="T32" s="71">
        <f t="shared" si="19"/>
        <v>245.00000000000003</v>
      </c>
      <c r="U32" s="71">
        <f t="shared" si="19"/>
        <v>245.00000000000003</v>
      </c>
      <c r="V32" s="71">
        <f t="shared" si="19"/>
        <v>245.00000000000003</v>
      </c>
      <c r="W32" s="71">
        <f t="shared" si="19"/>
        <v>245.00000000000003</v>
      </c>
    </row>
    <row r="33" spans="3:24" x14ac:dyDescent="0.25">
      <c r="C33" s="17" t="s">
        <v>139</v>
      </c>
      <c r="D33" s="72"/>
      <c r="E33" s="72"/>
      <c r="F33" s="72">
        <f>F31-F32</f>
        <v>1202.1999999999998</v>
      </c>
      <c r="G33" s="72">
        <f t="shared" ref="G33:W33" si="20">G31-G32</f>
        <v>1189.9846756523471</v>
      </c>
      <c r="H33" s="72">
        <f t="shared" si="20"/>
        <v>1189.9846756523471</v>
      </c>
      <c r="I33" s="72">
        <f t="shared" si="20"/>
        <v>1189.9846756523471</v>
      </c>
      <c r="J33" s="72">
        <f t="shared" si="20"/>
        <v>1189.9846756523471</v>
      </c>
      <c r="K33" s="72">
        <f t="shared" si="20"/>
        <v>1189.9846756523471</v>
      </c>
      <c r="L33" s="72">
        <f t="shared" si="20"/>
        <v>1189.9846756523471</v>
      </c>
      <c r="M33" s="72">
        <f t="shared" si="20"/>
        <v>1189.9846756523471</v>
      </c>
      <c r="N33" s="72">
        <f t="shared" si="20"/>
        <v>1189.9846756523471</v>
      </c>
      <c r="O33" s="72">
        <f t="shared" si="20"/>
        <v>1189.9846756523471</v>
      </c>
      <c r="P33" s="72">
        <f t="shared" si="20"/>
        <v>1189.9846756523471</v>
      </c>
      <c r="Q33" s="72">
        <f t="shared" si="20"/>
        <v>1189.9846756523471</v>
      </c>
      <c r="R33" s="72">
        <f t="shared" si="20"/>
        <v>1189.9846756523471</v>
      </c>
      <c r="S33" s="72">
        <f t="shared" si="20"/>
        <v>1189.9846756523471</v>
      </c>
      <c r="T33" s="72">
        <f t="shared" si="20"/>
        <v>1189.9846756523471</v>
      </c>
      <c r="U33" s="72">
        <f t="shared" si="20"/>
        <v>1189.9846756523471</v>
      </c>
      <c r="V33" s="72">
        <f t="shared" si="20"/>
        <v>1189.9846756523471</v>
      </c>
      <c r="W33" s="72">
        <f t="shared" si="20"/>
        <v>1189.9846756523471</v>
      </c>
    </row>
    <row r="34" spans="3:24" x14ac:dyDescent="0.25">
      <c r="C34" s="10" t="s">
        <v>140</v>
      </c>
      <c r="D34" s="72"/>
      <c r="E34" s="71"/>
      <c r="F34" s="71">
        <f>'Сравнение налоговой нагрузки'!F36</f>
        <v>190.39754810437555</v>
      </c>
      <c r="G34" s="71">
        <f>'Сравнение налоговой нагрузки'!G36</f>
        <v>190.39754810437555</v>
      </c>
      <c r="H34" s="71">
        <f>'Сравнение налоговой нагрузки'!H36</f>
        <v>190.39754810437555</v>
      </c>
      <c r="I34" s="71">
        <f>'Сравнение налоговой нагрузки'!I36</f>
        <v>190.39754810437555</v>
      </c>
      <c r="J34" s="71">
        <f>'Сравнение налоговой нагрузки'!J36</f>
        <v>190.39754810437555</v>
      </c>
      <c r="K34" s="71">
        <f>'Сравнение налоговой нагрузки'!K36</f>
        <v>237.99693513046941</v>
      </c>
      <c r="L34" s="71">
        <f>'Сравнение налоговой нагрузки'!L36</f>
        <v>237.99693513046941</v>
      </c>
      <c r="M34" s="71">
        <f>'Сравнение налоговой нагрузки'!M36</f>
        <v>237.99693513046941</v>
      </c>
      <c r="N34" s="71">
        <f>'Сравнение налоговой нагрузки'!N36</f>
        <v>237.99693513046941</v>
      </c>
      <c r="O34" s="71">
        <f>'Сравнение налоговой нагрузки'!O36</f>
        <v>237.99693513046941</v>
      </c>
      <c r="P34" s="71">
        <f>'Сравнение налоговой нагрузки'!P36</f>
        <v>237.99693513046941</v>
      </c>
      <c r="Q34" s="71">
        <f>'Сравнение налоговой нагрузки'!Q36</f>
        <v>237.99693513046941</v>
      </c>
      <c r="R34" s="71">
        <f>'Сравнение налоговой нагрузки'!R36</f>
        <v>237.99693513046941</v>
      </c>
      <c r="S34" s="71">
        <f>'Сравнение налоговой нагрузки'!S36</f>
        <v>237.99693513046941</v>
      </c>
      <c r="T34" s="71">
        <f>'Сравнение налоговой нагрузки'!T36</f>
        <v>237.99693513046941</v>
      </c>
      <c r="U34" s="71">
        <f>'Сравнение налоговой нагрузки'!U36</f>
        <v>237.99693513046941</v>
      </c>
      <c r="V34" s="71">
        <f>'Сравнение налоговой нагрузки'!V36</f>
        <v>237.99693513046941</v>
      </c>
      <c r="W34" s="71">
        <f>'Сравнение налоговой нагрузки'!W36</f>
        <v>237.99693513046941</v>
      </c>
    </row>
    <row r="35" spans="3:24" x14ac:dyDescent="0.25">
      <c r="C35" s="17" t="s">
        <v>141</v>
      </c>
      <c r="D35" s="72"/>
      <c r="E35" s="72"/>
      <c r="F35" s="72">
        <f>F33-F34</f>
        <v>1011.8024518956242</v>
      </c>
      <c r="G35" s="72">
        <f t="shared" ref="G35:W35" si="21">G33-G34</f>
        <v>999.58712754797148</v>
      </c>
      <c r="H35" s="72">
        <f t="shared" si="21"/>
        <v>999.58712754797148</v>
      </c>
      <c r="I35" s="72">
        <f t="shared" si="21"/>
        <v>999.58712754797148</v>
      </c>
      <c r="J35" s="72">
        <f t="shared" si="21"/>
        <v>999.58712754797148</v>
      </c>
      <c r="K35" s="72">
        <f t="shared" si="21"/>
        <v>951.98774052187764</v>
      </c>
      <c r="L35" s="72">
        <f t="shared" si="21"/>
        <v>951.98774052187764</v>
      </c>
      <c r="M35" s="72">
        <f t="shared" si="21"/>
        <v>951.98774052187764</v>
      </c>
      <c r="N35" s="72">
        <f t="shared" si="21"/>
        <v>951.98774052187764</v>
      </c>
      <c r="O35" s="72">
        <f t="shared" si="21"/>
        <v>951.98774052187764</v>
      </c>
      <c r="P35" s="72">
        <f t="shared" si="21"/>
        <v>951.98774052187764</v>
      </c>
      <c r="Q35" s="72">
        <f t="shared" si="21"/>
        <v>951.98774052187764</v>
      </c>
      <c r="R35" s="72">
        <f t="shared" si="21"/>
        <v>951.98774052187764</v>
      </c>
      <c r="S35" s="72">
        <f t="shared" si="21"/>
        <v>951.98774052187764</v>
      </c>
      <c r="T35" s="72">
        <f t="shared" si="21"/>
        <v>951.98774052187764</v>
      </c>
      <c r="U35" s="72">
        <f t="shared" si="21"/>
        <v>951.98774052187764</v>
      </c>
      <c r="V35" s="72">
        <f t="shared" si="21"/>
        <v>951.98774052187764</v>
      </c>
      <c r="W35" s="72">
        <f t="shared" si="21"/>
        <v>951.98774052187764</v>
      </c>
      <c r="X35" s="72"/>
    </row>
    <row r="36" spans="3:24" x14ac:dyDescent="0.25">
      <c r="C36" s="211" t="s">
        <v>142</v>
      </c>
      <c r="D36" s="214"/>
      <c r="E36" s="214"/>
      <c r="F36" s="213">
        <f>F35/F29</f>
        <v>0.20236049037912485</v>
      </c>
      <c r="G36" s="213">
        <f t="shared" ref="G36:W36" si="22">G35/G29</f>
        <v>0.19991742550959429</v>
      </c>
      <c r="H36" s="213">
        <f t="shared" si="22"/>
        <v>0.19991742550959429</v>
      </c>
      <c r="I36" s="213">
        <f t="shared" si="22"/>
        <v>0.19991742550959429</v>
      </c>
      <c r="J36" s="213">
        <f t="shared" si="22"/>
        <v>0.19991742550959429</v>
      </c>
      <c r="K36" s="213">
        <f t="shared" si="22"/>
        <v>0.19039754810437554</v>
      </c>
      <c r="L36" s="213">
        <f t="shared" si="22"/>
        <v>0.19039754810437554</v>
      </c>
      <c r="M36" s="213">
        <f t="shared" si="22"/>
        <v>0.19039754810437554</v>
      </c>
      <c r="N36" s="213">
        <f t="shared" si="22"/>
        <v>0.19039754810437554</v>
      </c>
      <c r="O36" s="213">
        <f t="shared" si="22"/>
        <v>0.19039754810437554</v>
      </c>
      <c r="P36" s="213">
        <f t="shared" si="22"/>
        <v>0.19039754810437554</v>
      </c>
      <c r="Q36" s="213">
        <f t="shared" si="22"/>
        <v>0.19039754810437554</v>
      </c>
      <c r="R36" s="213">
        <f t="shared" si="22"/>
        <v>0.19039754810437554</v>
      </c>
      <c r="S36" s="213">
        <f t="shared" si="22"/>
        <v>0.19039754810437554</v>
      </c>
      <c r="T36" s="213">
        <f t="shared" si="22"/>
        <v>0.19039754810437554</v>
      </c>
      <c r="U36" s="213">
        <f t="shared" si="22"/>
        <v>0.19039754810437554</v>
      </c>
      <c r="V36" s="213">
        <f t="shared" si="22"/>
        <v>0.19039754810437554</v>
      </c>
      <c r="W36" s="213">
        <f t="shared" si="22"/>
        <v>0.19039754810437554</v>
      </c>
    </row>
    <row r="37" spans="3:24" x14ac:dyDescent="0.25">
      <c r="C37" s="17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</row>
    <row r="38" spans="3:24" x14ac:dyDescent="0.25">
      <c r="C38" s="207" t="str">
        <f>'Сравнение налоговой нагрузки'!B47</f>
        <v>Свободная экономическая зона+
инвестиционный договор</v>
      </c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</row>
    <row r="39" spans="3:24" x14ac:dyDescent="0.25">
      <c r="C39" s="17" t="s">
        <v>135</v>
      </c>
      <c r="D39" s="76"/>
      <c r="E39" s="76"/>
      <c r="F39" s="76">
        <f>F29</f>
        <v>5000</v>
      </c>
      <c r="G39" s="76">
        <f>G29</f>
        <v>5000</v>
      </c>
      <c r="H39" s="76">
        <f>H29</f>
        <v>5000</v>
      </c>
      <c r="I39" s="76">
        <f>I29</f>
        <v>5000</v>
      </c>
      <c r="J39" s="76">
        <f>J29</f>
        <v>5000</v>
      </c>
      <c r="K39" s="76">
        <f>K29</f>
        <v>5000</v>
      </c>
      <c r="L39" s="76">
        <f>L29</f>
        <v>5000</v>
      </c>
      <c r="M39" s="76">
        <f>M29</f>
        <v>5000</v>
      </c>
      <c r="N39" s="76">
        <f>N29</f>
        <v>5000</v>
      </c>
      <c r="O39" s="76">
        <f>O29</f>
        <v>5000</v>
      </c>
      <c r="P39" s="76">
        <f>P29</f>
        <v>5000</v>
      </c>
      <c r="Q39" s="76">
        <f>Q29</f>
        <v>5000</v>
      </c>
      <c r="R39" s="76">
        <f>R29</f>
        <v>5000</v>
      </c>
      <c r="S39" s="76">
        <f>S29</f>
        <v>5000</v>
      </c>
      <c r="T39" s="76">
        <f>T29</f>
        <v>5000</v>
      </c>
      <c r="U39" s="76">
        <f>U29</f>
        <v>5000</v>
      </c>
      <c r="V39" s="76">
        <f>V29</f>
        <v>5000</v>
      </c>
      <c r="W39" s="76">
        <f>W29</f>
        <v>5000</v>
      </c>
    </row>
    <row r="40" spans="3:24" x14ac:dyDescent="0.25">
      <c r="C40" s="10" t="s">
        <v>136</v>
      </c>
      <c r="D40" s="71"/>
      <c r="E40" s="71"/>
      <c r="F40" s="71">
        <f>F20</f>
        <v>3500.3</v>
      </c>
      <c r="G40" s="71">
        <f>G20</f>
        <v>3500.3</v>
      </c>
      <c r="H40" s="71">
        <f>H20</f>
        <v>3500.3</v>
      </c>
      <c r="I40" s="71">
        <f>I20</f>
        <v>3500.3</v>
      </c>
      <c r="J40" s="71">
        <f>J20</f>
        <v>3500.3</v>
      </c>
      <c r="K40" s="71">
        <f>K20</f>
        <v>3500.3</v>
      </c>
      <c r="L40" s="71">
        <f>L20</f>
        <v>3500.3</v>
      </c>
      <c r="M40" s="71">
        <f>M20</f>
        <v>3500.3</v>
      </c>
      <c r="N40" s="71">
        <f>N20</f>
        <v>3500.3</v>
      </c>
      <c r="O40" s="71">
        <f>O20</f>
        <v>3500.3</v>
      </c>
      <c r="P40" s="71">
        <f>P20</f>
        <v>3500.3</v>
      </c>
      <c r="Q40" s="71">
        <f>Q20</f>
        <v>3500.3</v>
      </c>
      <c r="R40" s="71">
        <f>R20</f>
        <v>3500.3</v>
      </c>
      <c r="S40" s="71">
        <f>S20</f>
        <v>3500.3</v>
      </c>
      <c r="T40" s="71">
        <f>T20</f>
        <v>3500.3</v>
      </c>
      <c r="U40" s="71">
        <f>U20</f>
        <v>3500.3</v>
      </c>
      <c r="V40" s="71">
        <f>V20</f>
        <v>3500.3</v>
      </c>
      <c r="W40" s="71">
        <f>W20</f>
        <v>3500.3</v>
      </c>
    </row>
    <row r="41" spans="3:24" x14ac:dyDescent="0.25">
      <c r="C41" s="17" t="s">
        <v>137</v>
      </c>
      <c r="D41" s="71"/>
      <c r="E41" s="71"/>
      <c r="F41" s="72">
        <f>F39-F40</f>
        <v>1499.6999999999998</v>
      </c>
      <c r="G41" s="72">
        <f t="shared" ref="G41:W41" si="23">G39-G40</f>
        <v>1499.6999999999998</v>
      </c>
      <c r="H41" s="72">
        <f t="shared" si="23"/>
        <v>1499.6999999999998</v>
      </c>
      <c r="I41" s="72">
        <f t="shared" si="23"/>
        <v>1499.6999999999998</v>
      </c>
      <c r="J41" s="72">
        <f t="shared" si="23"/>
        <v>1499.6999999999998</v>
      </c>
      <c r="K41" s="72">
        <f t="shared" si="23"/>
        <v>1499.6999999999998</v>
      </c>
      <c r="L41" s="72">
        <f t="shared" si="23"/>
        <v>1499.6999999999998</v>
      </c>
      <c r="M41" s="72">
        <f t="shared" si="23"/>
        <v>1499.6999999999998</v>
      </c>
      <c r="N41" s="72">
        <f t="shared" si="23"/>
        <v>1499.6999999999998</v>
      </c>
      <c r="O41" s="72">
        <f t="shared" si="23"/>
        <v>1499.6999999999998</v>
      </c>
      <c r="P41" s="72">
        <f t="shared" si="23"/>
        <v>1499.6999999999998</v>
      </c>
      <c r="Q41" s="72">
        <f t="shared" si="23"/>
        <v>1499.6999999999998</v>
      </c>
      <c r="R41" s="72">
        <f t="shared" si="23"/>
        <v>1499.6999999999998</v>
      </c>
      <c r="S41" s="72">
        <f t="shared" si="23"/>
        <v>1499.6999999999998</v>
      </c>
      <c r="T41" s="72">
        <f t="shared" si="23"/>
        <v>1499.6999999999998</v>
      </c>
      <c r="U41" s="72">
        <f t="shared" si="23"/>
        <v>1499.6999999999998</v>
      </c>
      <c r="V41" s="72">
        <f t="shared" si="23"/>
        <v>1499.6999999999998</v>
      </c>
      <c r="W41" s="72">
        <f t="shared" si="23"/>
        <v>1499.6999999999998</v>
      </c>
    </row>
    <row r="42" spans="3:24" x14ac:dyDescent="0.25">
      <c r="C42" s="10" t="s">
        <v>138</v>
      </c>
      <c r="D42" s="72"/>
      <c r="E42" s="72"/>
      <c r="F42" s="71">
        <f>F32</f>
        <v>245.00000000000003</v>
      </c>
      <c r="G42" s="71">
        <f>G32</f>
        <v>245.00000000000003</v>
      </c>
      <c r="H42" s="71">
        <f>H32</f>
        <v>245.00000000000003</v>
      </c>
      <c r="I42" s="71">
        <f>I32</f>
        <v>245.00000000000003</v>
      </c>
      <c r="J42" s="71">
        <f>J32</f>
        <v>245.00000000000003</v>
      </c>
      <c r="K42" s="71">
        <f>K32</f>
        <v>245.00000000000003</v>
      </c>
      <c r="L42" s="71">
        <f>L32</f>
        <v>245.00000000000003</v>
      </c>
      <c r="M42" s="71">
        <f>M32</f>
        <v>245.00000000000003</v>
      </c>
      <c r="N42" s="71">
        <f>N32</f>
        <v>245.00000000000003</v>
      </c>
      <c r="O42" s="71">
        <f>O32</f>
        <v>245.00000000000003</v>
      </c>
      <c r="P42" s="71">
        <f>P32</f>
        <v>245.00000000000003</v>
      </c>
      <c r="Q42" s="71">
        <f>Q32</f>
        <v>245.00000000000003</v>
      </c>
      <c r="R42" s="71">
        <f>R32</f>
        <v>245.00000000000003</v>
      </c>
      <c r="S42" s="71">
        <f>S32</f>
        <v>245.00000000000003</v>
      </c>
      <c r="T42" s="71">
        <f>T32</f>
        <v>245.00000000000003</v>
      </c>
      <c r="U42" s="71">
        <f>U32</f>
        <v>245.00000000000003</v>
      </c>
      <c r="V42" s="71">
        <f>V32</f>
        <v>245.00000000000003</v>
      </c>
      <c r="W42" s="71">
        <f>W32</f>
        <v>245.00000000000003</v>
      </c>
    </row>
    <row r="43" spans="3:24" x14ac:dyDescent="0.25">
      <c r="C43" s="17" t="s">
        <v>139</v>
      </c>
      <c r="D43" s="72"/>
      <c r="E43" s="72"/>
      <c r="F43" s="72">
        <f>F41-F42</f>
        <v>1254.6999999999998</v>
      </c>
      <c r="G43" s="72">
        <f t="shared" ref="G43:W43" si="24">G41-G42</f>
        <v>1254.6999999999998</v>
      </c>
      <c r="H43" s="72">
        <f t="shared" si="24"/>
        <v>1254.6999999999998</v>
      </c>
      <c r="I43" s="72">
        <f t="shared" si="24"/>
        <v>1254.6999999999998</v>
      </c>
      <c r="J43" s="72">
        <f t="shared" si="24"/>
        <v>1254.6999999999998</v>
      </c>
      <c r="K43" s="72">
        <f t="shared" si="24"/>
        <v>1254.6999999999998</v>
      </c>
      <c r="L43" s="72">
        <f t="shared" si="24"/>
        <v>1254.6999999999998</v>
      </c>
      <c r="M43" s="72">
        <f t="shared" si="24"/>
        <v>1254.6999999999998</v>
      </c>
      <c r="N43" s="72">
        <f t="shared" si="24"/>
        <v>1254.6999999999998</v>
      </c>
      <c r="O43" s="72">
        <f t="shared" si="24"/>
        <v>1254.6999999999998</v>
      </c>
      <c r="P43" s="72">
        <f t="shared" si="24"/>
        <v>1254.6999999999998</v>
      </c>
      <c r="Q43" s="72">
        <f t="shared" si="24"/>
        <v>1254.6999999999998</v>
      </c>
      <c r="R43" s="72">
        <f t="shared" si="24"/>
        <v>1254.6999999999998</v>
      </c>
      <c r="S43" s="72">
        <f t="shared" si="24"/>
        <v>1254.6999999999998</v>
      </c>
      <c r="T43" s="72">
        <f t="shared" si="24"/>
        <v>1254.6999999999998</v>
      </c>
      <c r="U43" s="72">
        <f t="shared" si="24"/>
        <v>1254.6999999999998</v>
      </c>
      <c r="V43" s="72">
        <f t="shared" si="24"/>
        <v>1254.6999999999998</v>
      </c>
      <c r="W43" s="72">
        <f t="shared" si="24"/>
        <v>1254.6999999999998</v>
      </c>
    </row>
    <row r="44" spans="3:24" x14ac:dyDescent="0.25">
      <c r="C44" s="10" t="s">
        <v>140</v>
      </c>
      <c r="D44" s="72"/>
      <c r="E44" s="71"/>
      <c r="F44" s="71">
        <f>'Сравнение налоговой нагрузки'!F51</f>
        <v>71.399080539140826</v>
      </c>
      <c r="G44" s="71">
        <f>'Сравнение налоговой нагрузки'!G51</f>
        <v>71.399080539140826</v>
      </c>
      <c r="H44" s="71">
        <f>'Сравнение налоговой нагрузки'!H51</f>
        <v>71.399080539140826</v>
      </c>
      <c r="I44" s="71">
        <f>'Сравнение налоговой нагрузки'!I51</f>
        <v>71.399080539140826</v>
      </c>
      <c r="J44" s="71">
        <f>'Сравнение налоговой нагрузки'!J51</f>
        <v>71.399080539140826</v>
      </c>
      <c r="K44" s="71">
        <f>'Сравнение налоговой нагрузки'!K51</f>
        <v>95.198774052187773</v>
      </c>
      <c r="L44" s="71">
        <f>'Сравнение налоговой нагрузки'!L51</f>
        <v>95.198774052187773</v>
      </c>
      <c r="M44" s="71">
        <f>'Сравнение налоговой нагрузки'!M51</f>
        <v>95.198774052187773</v>
      </c>
      <c r="N44" s="71">
        <f>'Сравнение налоговой нагрузки'!N51</f>
        <v>95.198774052187773</v>
      </c>
      <c r="O44" s="71">
        <f>'Сравнение налоговой нагрузки'!O51</f>
        <v>95.198774052187773</v>
      </c>
      <c r="P44" s="71">
        <f>'Сравнение налоговой нагрузки'!P51</f>
        <v>95.198774052187773</v>
      </c>
      <c r="Q44" s="71">
        <f>'Сравнение налоговой нагрузки'!Q51</f>
        <v>95.198774052187773</v>
      </c>
      <c r="R44" s="71">
        <f>'Сравнение налоговой нагрузки'!R51</f>
        <v>95.198774052187773</v>
      </c>
      <c r="S44" s="71">
        <f>'Сравнение налоговой нагрузки'!S51</f>
        <v>95.198774052187773</v>
      </c>
      <c r="T44" s="71">
        <f>'Сравнение налоговой нагрузки'!T51</f>
        <v>95.198774052187773</v>
      </c>
      <c r="U44" s="71">
        <f>'Сравнение налоговой нагрузки'!U51</f>
        <v>95.198774052187773</v>
      </c>
      <c r="V44" s="71">
        <f>'Сравнение налоговой нагрузки'!V51</f>
        <v>95.198774052187773</v>
      </c>
      <c r="W44" s="71">
        <f>'Сравнение налоговой нагрузки'!W51</f>
        <v>95.198774052187773</v>
      </c>
    </row>
    <row r="45" spans="3:24" x14ac:dyDescent="0.25">
      <c r="C45" s="17" t="s">
        <v>141</v>
      </c>
      <c r="D45" s="72"/>
      <c r="E45" s="72"/>
      <c r="F45" s="72">
        <f>F43-F44</f>
        <v>1183.3009194608589</v>
      </c>
      <c r="G45" s="72">
        <f t="shared" ref="G45:W45" si="25">G43-G44</f>
        <v>1183.3009194608589</v>
      </c>
      <c r="H45" s="72">
        <f t="shared" si="25"/>
        <v>1183.3009194608589</v>
      </c>
      <c r="I45" s="72">
        <f t="shared" si="25"/>
        <v>1183.3009194608589</v>
      </c>
      <c r="J45" s="72">
        <f t="shared" si="25"/>
        <v>1183.3009194608589</v>
      </c>
      <c r="K45" s="72">
        <f t="shared" si="25"/>
        <v>1159.5012259478121</v>
      </c>
      <c r="L45" s="72">
        <f t="shared" si="25"/>
        <v>1159.5012259478121</v>
      </c>
      <c r="M45" s="72">
        <f t="shared" si="25"/>
        <v>1159.5012259478121</v>
      </c>
      <c r="N45" s="72">
        <f t="shared" si="25"/>
        <v>1159.5012259478121</v>
      </c>
      <c r="O45" s="72">
        <f t="shared" si="25"/>
        <v>1159.5012259478121</v>
      </c>
      <c r="P45" s="72">
        <f t="shared" si="25"/>
        <v>1159.5012259478121</v>
      </c>
      <c r="Q45" s="72">
        <f t="shared" si="25"/>
        <v>1159.5012259478121</v>
      </c>
      <c r="R45" s="72">
        <f t="shared" si="25"/>
        <v>1159.5012259478121</v>
      </c>
      <c r="S45" s="72">
        <f t="shared" si="25"/>
        <v>1159.5012259478121</v>
      </c>
      <c r="T45" s="72">
        <f t="shared" si="25"/>
        <v>1159.5012259478121</v>
      </c>
      <c r="U45" s="72">
        <f t="shared" si="25"/>
        <v>1159.5012259478121</v>
      </c>
      <c r="V45" s="72">
        <f t="shared" si="25"/>
        <v>1159.5012259478121</v>
      </c>
      <c r="W45" s="72">
        <f t="shared" si="25"/>
        <v>1159.5012259478121</v>
      </c>
      <c r="X45" s="72"/>
    </row>
    <row r="46" spans="3:24" x14ac:dyDescent="0.25">
      <c r="C46" s="211" t="s">
        <v>142</v>
      </c>
      <c r="D46" s="214"/>
      <c r="E46" s="214"/>
      <c r="F46" s="213">
        <f>F45/F39</f>
        <v>0.23666018389217178</v>
      </c>
      <c r="G46" s="213">
        <f t="shared" ref="G46:W46" si="26">G45/G39</f>
        <v>0.23666018389217178</v>
      </c>
      <c r="H46" s="213">
        <f t="shared" si="26"/>
        <v>0.23666018389217178</v>
      </c>
      <c r="I46" s="213">
        <f t="shared" si="26"/>
        <v>0.23666018389217178</v>
      </c>
      <c r="J46" s="213">
        <f t="shared" si="26"/>
        <v>0.23666018389217178</v>
      </c>
      <c r="K46" s="213">
        <f t="shared" si="26"/>
        <v>0.23190024518956243</v>
      </c>
      <c r="L46" s="213">
        <f t="shared" si="26"/>
        <v>0.23190024518956243</v>
      </c>
      <c r="M46" s="213">
        <f t="shared" si="26"/>
        <v>0.23190024518956243</v>
      </c>
      <c r="N46" s="213">
        <f t="shared" si="26"/>
        <v>0.23190024518956243</v>
      </c>
      <c r="O46" s="213">
        <f t="shared" si="26"/>
        <v>0.23190024518956243</v>
      </c>
      <c r="P46" s="213">
        <f t="shared" si="26"/>
        <v>0.23190024518956243</v>
      </c>
      <c r="Q46" s="213">
        <f t="shared" si="26"/>
        <v>0.23190024518956243</v>
      </c>
      <c r="R46" s="213">
        <f t="shared" si="26"/>
        <v>0.23190024518956243</v>
      </c>
      <c r="S46" s="213">
        <f t="shared" si="26"/>
        <v>0.23190024518956243</v>
      </c>
      <c r="T46" s="213">
        <f t="shared" si="26"/>
        <v>0.23190024518956243</v>
      </c>
      <c r="U46" s="213">
        <f t="shared" si="26"/>
        <v>0.23190024518956243</v>
      </c>
      <c r="V46" s="213">
        <f t="shared" si="26"/>
        <v>0.23190024518956243</v>
      </c>
      <c r="W46" s="213">
        <f t="shared" si="26"/>
        <v>0.23190024518956243</v>
      </c>
    </row>
    <row r="47" spans="3:24" s="1" customFormat="1" x14ac:dyDescent="0.25"/>
    <row r="48" spans="3:24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</sheetData>
  <mergeCells count="3">
    <mergeCell ref="C4:O4"/>
    <mergeCell ref="C6:C7"/>
    <mergeCell ref="D6:W6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B4:H23"/>
  <sheetViews>
    <sheetView zoomScale="90" zoomScaleNormal="90" workbookViewId="0">
      <pane ySplit="6" topLeftCell="A7" activePane="bottomLeft" state="frozen"/>
      <selection pane="bottomLeft" activeCell="A7" sqref="A7"/>
    </sheetView>
  </sheetViews>
  <sheetFormatPr defaultColWidth="8.85546875" defaultRowHeight="15" x14ac:dyDescent="0.25"/>
  <cols>
    <col min="1" max="2" width="8.85546875" style="1"/>
    <col min="3" max="3" width="47.140625" style="1" customWidth="1"/>
    <col min="4" max="4" width="23.5703125" style="1" customWidth="1"/>
    <col min="5" max="5" width="17.7109375" style="1" customWidth="1"/>
    <col min="6" max="6" width="30.42578125" style="1" customWidth="1"/>
    <col min="7" max="7" width="18.5703125" style="1" customWidth="1"/>
    <col min="8" max="8" width="38" style="1" customWidth="1"/>
    <col min="9" max="16384" width="8.85546875" style="1"/>
  </cols>
  <sheetData>
    <row r="4" spans="2:8" ht="18.75" x14ac:dyDescent="0.3">
      <c r="B4" s="234" t="s">
        <v>67</v>
      </c>
      <c r="C4" s="234"/>
      <c r="D4" s="234"/>
      <c r="E4" s="234"/>
      <c r="F4" s="234"/>
      <c r="G4" s="234"/>
    </row>
    <row r="5" spans="2:8" ht="6.6" customHeight="1" x14ac:dyDescent="0.25"/>
    <row r="6" spans="2:8" ht="38.25" x14ac:dyDescent="0.25">
      <c r="B6" s="232" t="s">
        <v>21</v>
      </c>
      <c r="C6" s="232" t="s">
        <v>65</v>
      </c>
      <c r="D6" s="232" t="s">
        <v>70</v>
      </c>
      <c r="E6" s="233" t="s">
        <v>231</v>
      </c>
      <c r="F6" s="165" t="s">
        <v>182</v>
      </c>
      <c r="G6" s="166" t="s">
        <v>66</v>
      </c>
      <c r="H6" s="232" t="s">
        <v>69</v>
      </c>
    </row>
    <row r="7" spans="2:8" s="11" customFormat="1" x14ac:dyDescent="0.25">
      <c r="B7" s="240">
        <v>1</v>
      </c>
      <c r="C7" s="16" t="s">
        <v>54</v>
      </c>
      <c r="D7" s="28"/>
      <c r="E7" s="117"/>
      <c r="F7" s="75"/>
      <c r="G7" s="75"/>
      <c r="H7" s="123"/>
    </row>
    <row r="8" spans="2:8" ht="36" x14ac:dyDescent="0.25">
      <c r="B8" s="241"/>
      <c r="C8" s="19" t="s">
        <v>62</v>
      </c>
      <c r="D8" s="29" t="s">
        <v>84</v>
      </c>
      <c r="E8" s="118">
        <v>0.2</v>
      </c>
      <c r="F8" s="125">
        <f>$E$8</f>
        <v>0.2</v>
      </c>
      <c r="G8" s="125">
        <f>E8</f>
        <v>0.2</v>
      </c>
      <c r="H8" s="246" t="s">
        <v>174</v>
      </c>
    </row>
    <row r="9" spans="2:8" ht="24" x14ac:dyDescent="0.25">
      <c r="B9" s="241"/>
      <c r="C9" s="10" t="s">
        <v>63</v>
      </c>
      <c r="D9" s="29" t="s">
        <v>71</v>
      </c>
      <c r="E9" s="119">
        <v>0.2</v>
      </c>
      <c r="F9" s="124">
        <f>$E$9</f>
        <v>0.2</v>
      </c>
      <c r="G9" s="124">
        <f>E9</f>
        <v>0.2</v>
      </c>
      <c r="H9" s="246"/>
    </row>
    <row r="10" spans="2:8" ht="36" x14ac:dyDescent="0.25">
      <c r="B10" s="242"/>
      <c r="C10" s="22" t="s">
        <v>64</v>
      </c>
      <c r="D10" s="215" t="s">
        <v>72</v>
      </c>
      <c r="E10" s="120">
        <v>0.2</v>
      </c>
      <c r="F10" s="112" t="s">
        <v>73</v>
      </c>
      <c r="G10" s="112">
        <f>E10</f>
        <v>0.2</v>
      </c>
      <c r="H10" s="247"/>
    </row>
    <row r="11" spans="2:8" s="11" customFormat="1" x14ac:dyDescent="0.25">
      <c r="B11" s="240">
        <v>2</v>
      </c>
      <c r="C11" s="17" t="s">
        <v>55</v>
      </c>
      <c r="D11" s="216"/>
      <c r="E11" s="121"/>
      <c r="F11" s="129"/>
      <c r="G11" s="130"/>
      <c r="H11" s="243" t="s">
        <v>173</v>
      </c>
    </row>
    <row r="12" spans="2:8" s="15" customFormat="1" ht="38.25" x14ac:dyDescent="0.25">
      <c r="B12" s="241"/>
      <c r="C12" s="18" t="s">
        <v>63</v>
      </c>
      <c r="D12" s="248" t="s">
        <v>189</v>
      </c>
      <c r="E12" s="122" t="s">
        <v>191</v>
      </c>
      <c r="F12" s="127" t="str">
        <f>$E$12</f>
        <v>от 0% до 100%/
фиксированная ставка за единицу</v>
      </c>
      <c r="G12" s="126" t="str">
        <f>E12</f>
        <v>от 0% до 100%/
фиксированная ставка за единицу</v>
      </c>
      <c r="H12" s="244"/>
    </row>
    <row r="13" spans="2:8" s="15" customFormat="1" ht="38.25" x14ac:dyDescent="0.25">
      <c r="B13" s="242"/>
      <c r="C13" s="23" t="s">
        <v>64</v>
      </c>
      <c r="D13" s="249"/>
      <c r="E13" s="122" t="s">
        <v>191</v>
      </c>
      <c r="F13" s="124" t="s">
        <v>73</v>
      </c>
      <c r="G13" s="128" t="str">
        <f>E13</f>
        <v>от 0% до 100%/
фиксированная ставка за единицу</v>
      </c>
      <c r="H13" s="245"/>
    </row>
    <row r="14" spans="2:8" s="11" customFormat="1" ht="60" x14ac:dyDescent="0.25">
      <c r="B14" s="24">
        <v>3</v>
      </c>
      <c r="C14" s="25" t="s">
        <v>74</v>
      </c>
      <c r="D14" s="217" t="s">
        <v>75</v>
      </c>
      <c r="E14" s="131">
        <v>0.2</v>
      </c>
      <c r="F14" s="107" t="s">
        <v>180</v>
      </c>
      <c r="G14" s="107">
        <f>E14</f>
        <v>0.2</v>
      </c>
      <c r="H14" s="135"/>
    </row>
    <row r="15" spans="2:8" s="11" customFormat="1" ht="38.25" x14ac:dyDescent="0.25">
      <c r="B15" s="24">
        <v>4</v>
      </c>
      <c r="C15" s="25" t="s">
        <v>56</v>
      </c>
      <c r="D15" s="218" t="s">
        <v>78</v>
      </c>
      <c r="E15" s="131">
        <v>0.01</v>
      </c>
      <c r="F15" s="110">
        <f>$E$15</f>
        <v>0.01</v>
      </c>
      <c r="G15" s="4" t="s">
        <v>187</v>
      </c>
      <c r="H15" s="136"/>
    </row>
    <row r="16" spans="2:8" s="11" customFormat="1" ht="45" x14ac:dyDescent="0.25">
      <c r="B16" s="24">
        <v>5</v>
      </c>
      <c r="C16" s="25" t="s">
        <v>58</v>
      </c>
      <c r="D16" s="219" t="s">
        <v>77</v>
      </c>
      <c r="E16" s="148">
        <v>1.0999999999999999E-2</v>
      </c>
      <c r="F16" s="111" t="s">
        <v>179</v>
      </c>
      <c r="G16" s="109" t="s">
        <v>188</v>
      </c>
      <c r="H16" s="137" t="s">
        <v>175</v>
      </c>
    </row>
    <row r="17" spans="2:8" s="113" customFormat="1" ht="30" x14ac:dyDescent="0.25">
      <c r="B17" s="24">
        <v>6</v>
      </c>
      <c r="C17" s="25" t="s">
        <v>57</v>
      </c>
      <c r="D17" s="218" t="s">
        <v>176</v>
      </c>
      <c r="E17" s="133" t="s">
        <v>76</v>
      </c>
      <c r="F17" s="108" t="str">
        <f>$E$17</f>
        <v>по расчету</v>
      </c>
      <c r="G17" s="3" t="str">
        <f>E17</f>
        <v>по расчету</v>
      </c>
      <c r="H17" s="137" t="s">
        <v>181</v>
      </c>
    </row>
    <row r="18" spans="2:8" s="11" customFormat="1" ht="45" x14ac:dyDescent="0.25">
      <c r="B18" s="24">
        <v>7</v>
      </c>
      <c r="C18" s="26" t="s">
        <v>60</v>
      </c>
      <c r="D18" s="218" t="s">
        <v>79</v>
      </c>
      <c r="E18" s="132">
        <v>0.34</v>
      </c>
      <c r="F18" s="110">
        <f>$E$18</f>
        <v>0.34</v>
      </c>
      <c r="G18" s="110">
        <f>E18</f>
        <v>0.34</v>
      </c>
      <c r="H18" s="140"/>
    </row>
    <row r="19" spans="2:8" s="11" customFormat="1" ht="30" x14ac:dyDescent="0.25">
      <c r="B19" s="24">
        <v>8</v>
      </c>
      <c r="C19" s="25" t="s">
        <v>59</v>
      </c>
      <c r="D19" s="218" t="s">
        <v>80</v>
      </c>
      <c r="E19" s="131">
        <v>0.13</v>
      </c>
      <c r="F19" s="110">
        <f>$E$19</f>
        <v>0.13</v>
      </c>
      <c r="G19" s="110">
        <f t="shared" ref="G19:G21" si="0">E19</f>
        <v>0.13</v>
      </c>
      <c r="H19" s="135"/>
    </row>
    <row r="20" spans="2:8" s="11" customFormat="1" ht="45" x14ac:dyDescent="0.25">
      <c r="B20" s="24">
        <v>9</v>
      </c>
      <c r="C20" s="25" t="s">
        <v>82</v>
      </c>
      <c r="D20" s="220" t="s">
        <v>83</v>
      </c>
      <c r="E20" s="131">
        <v>0.13</v>
      </c>
      <c r="F20" s="110">
        <f>$E$20</f>
        <v>0.13</v>
      </c>
      <c r="G20" s="110">
        <f t="shared" si="0"/>
        <v>0.13</v>
      </c>
      <c r="H20" s="138" t="s">
        <v>177</v>
      </c>
    </row>
    <row r="21" spans="2:8" s="11" customFormat="1" ht="24" x14ac:dyDescent="0.25">
      <c r="B21" s="24">
        <v>10</v>
      </c>
      <c r="C21" s="25" t="s">
        <v>61</v>
      </c>
      <c r="D21" s="220" t="s">
        <v>81</v>
      </c>
      <c r="E21" s="131">
        <v>0.15</v>
      </c>
      <c r="F21" s="110">
        <f>$E$21</f>
        <v>0.15</v>
      </c>
      <c r="G21" s="110">
        <f t="shared" si="0"/>
        <v>0.15</v>
      </c>
      <c r="H21" s="140"/>
    </row>
    <row r="22" spans="2:8" s="11" customFormat="1" x14ac:dyDescent="0.25">
      <c r="B22" s="21">
        <v>11</v>
      </c>
      <c r="C22" s="27" t="s">
        <v>68</v>
      </c>
      <c r="D22" s="221" t="s">
        <v>76</v>
      </c>
      <c r="E22" s="134" t="s">
        <v>76</v>
      </c>
      <c r="F22" s="141" t="str">
        <f>E22</f>
        <v>по расчету</v>
      </c>
      <c r="G22" s="3" t="str">
        <f t="shared" ref="G22" si="1">E22</f>
        <v>по расчету</v>
      </c>
      <c r="H22" s="139"/>
    </row>
    <row r="23" spans="2:8" x14ac:dyDescent="0.25">
      <c r="C23" s="11"/>
      <c r="D23" s="11"/>
    </row>
  </sheetData>
  <mergeCells count="6">
    <mergeCell ref="B11:B13"/>
    <mergeCell ref="B7:B10"/>
    <mergeCell ref="H11:H13"/>
    <mergeCell ref="H8:H10"/>
    <mergeCell ref="D12:D13"/>
    <mergeCell ref="B4:G4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HG629"/>
  <sheetViews>
    <sheetView zoomScale="80" zoomScaleNormal="8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8.85546875" style="1"/>
    <col min="2" max="2" width="41.7109375" bestFit="1" customWidth="1"/>
    <col min="3" max="3" width="34.140625" customWidth="1"/>
    <col min="4" max="4" width="31.7109375" customWidth="1"/>
    <col min="5" max="5" width="13.5703125" bestFit="1" customWidth="1"/>
    <col min="6" max="6" width="9.42578125" customWidth="1"/>
    <col min="7" max="7" width="15.5703125" customWidth="1"/>
    <col min="8" max="10" width="13.7109375" customWidth="1"/>
    <col min="11" max="11" width="16.85546875" customWidth="1"/>
    <col min="12" max="12" width="6.28515625" customWidth="1"/>
    <col min="13" max="13" width="14.28515625" customWidth="1"/>
    <col min="14" max="14" width="9.7109375" customWidth="1"/>
    <col min="15" max="15" width="9.28515625" customWidth="1"/>
    <col min="16" max="16" width="7.42578125" bestFit="1" customWidth="1"/>
    <col min="17" max="17" width="9" customWidth="1"/>
    <col min="18" max="18" width="5.85546875" bestFit="1" customWidth="1"/>
    <col min="19" max="19" width="11.28515625" style="1" customWidth="1"/>
    <col min="20" max="215" width="8.85546875" style="1"/>
  </cols>
  <sheetData>
    <row r="1" spans="2:20" s="1" customFormat="1" x14ac:dyDescent="0.25"/>
    <row r="2" spans="2:20" s="1" customFormat="1" x14ac:dyDescent="0.25"/>
    <row r="3" spans="2:20" s="1" customFormat="1" x14ac:dyDescent="0.25"/>
    <row r="4" spans="2:20" s="1" customFormat="1" ht="18.75" x14ac:dyDescent="0.3">
      <c r="B4" s="268" t="s">
        <v>1</v>
      </c>
      <c r="C4" s="268"/>
      <c r="D4" s="268"/>
      <c r="E4" s="268"/>
      <c r="F4" s="268"/>
      <c r="G4" s="268"/>
      <c r="H4" s="268"/>
      <c r="I4" s="2"/>
      <c r="J4" s="2"/>
      <c r="K4" s="2"/>
    </row>
    <row r="5" spans="2:20" s="1" customFormat="1" x14ac:dyDescent="0.25"/>
    <row r="6" spans="2:20" x14ac:dyDescent="0.25">
      <c r="B6" s="235" t="s">
        <v>48</v>
      </c>
      <c r="C6" s="269" t="s">
        <v>0</v>
      </c>
      <c r="D6" s="271" t="s">
        <v>195</v>
      </c>
      <c r="E6" s="269" t="s">
        <v>6</v>
      </c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4"/>
    </row>
    <row r="7" spans="2:20" ht="29.45" customHeight="1" x14ac:dyDescent="0.25">
      <c r="B7" s="236"/>
      <c r="C7" s="270"/>
      <c r="D7" s="272"/>
      <c r="E7" s="167" t="s">
        <v>184</v>
      </c>
      <c r="F7" s="168" t="s">
        <v>183</v>
      </c>
      <c r="G7" s="169" t="s">
        <v>15</v>
      </c>
      <c r="H7" s="169" t="s">
        <v>11</v>
      </c>
      <c r="I7" s="169" t="s">
        <v>12</v>
      </c>
      <c r="J7" s="169" t="s">
        <v>8</v>
      </c>
      <c r="K7" s="169" t="s">
        <v>7</v>
      </c>
      <c r="L7" s="168" t="s">
        <v>2</v>
      </c>
      <c r="M7" s="169" t="s">
        <v>5</v>
      </c>
      <c r="N7" s="169" t="s">
        <v>17</v>
      </c>
      <c r="O7" s="169" t="s">
        <v>9</v>
      </c>
      <c r="P7" s="168" t="s">
        <v>3</v>
      </c>
      <c r="Q7" s="169" t="s">
        <v>10</v>
      </c>
      <c r="R7" s="168" t="s">
        <v>4</v>
      </c>
      <c r="S7" s="170" t="s">
        <v>18</v>
      </c>
    </row>
    <row r="8" spans="2:20" ht="25.5" x14ac:dyDescent="0.25">
      <c r="B8" s="283" t="s">
        <v>14</v>
      </c>
      <c r="C8" s="4" t="s">
        <v>178</v>
      </c>
      <c r="D8" s="177" t="s">
        <v>13</v>
      </c>
      <c r="E8" s="157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4"/>
    </row>
    <row r="9" spans="2:20" ht="76.5" x14ac:dyDescent="0.25">
      <c r="B9" s="283" t="s">
        <v>16</v>
      </c>
      <c r="C9" s="4" t="s">
        <v>186</v>
      </c>
      <c r="D9" s="178" t="s">
        <v>19</v>
      </c>
      <c r="E9" s="171"/>
      <c r="F9" s="172"/>
      <c r="G9" s="175"/>
      <c r="H9" s="175"/>
      <c r="I9" s="175"/>
      <c r="J9" s="175"/>
      <c r="K9" s="172"/>
      <c r="L9" s="175"/>
      <c r="M9" s="172"/>
      <c r="N9" s="175"/>
      <c r="O9" s="175"/>
      <c r="P9" s="175"/>
      <c r="Q9" s="175"/>
      <c r="R9" s="175"/>
      <c r="S9" s="176"/>
      <c r="T9" s="114" t="s">
        <v>190</v>
      </c>
    </row>
    <row r="10" spans="2:20" s="1" customFormat="1" x14ac:dyDescent="0.25"/>
    <row r="11" spans="2:20" s="1" customFormat="1" x14ac:dyDescent="0.25"/>
    <row r="12" spans="2:20" s="1" customFormat="1" x14ac:dyDescent="0.25"/>
    <row r="13" spans="2:20" s="1" customFormat="1" x14ac:dyDescent="0.25"/>
    <row r="14" spans="2:20" s="1" customFormat="1" x14ac:dyDescent="0.25"/>
    <row r="15" spans="2:20" s="1" customFormat="1" x14ac:dyDescent="0.25"/>
    <row r="16" spans="2:20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</sheetData>
  <mergeCells count="5">
    <mergeCell ref="B4:H4"/>
    <mergeCell ref="C6:C7"/>
    <mergeCell ref="B6:B7"/>
    <mergeCell ref="D6:D7"/>
    <mergeCell ref="E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B3:H13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5" x14ac:dyDescent="0.25"/>
  <cols>
    <col min="1" max="1" width="8.85546875" style="1"/>
    <col min="2" max="2" width="41.7109375" style="1" bestFit="1" customWidth="1"/>
    <col min="3" max="3" width="15.85546875" style="1" customWidth="1"/>
    <col min="4" max="4" width="16" style="1" customWidth="1"/>
    <col min="5" max="5" width="21.7109375" style="1" customWidth="1"/>
    <col min="6" max="6" width="17.42578125" style="1" customWidth="1"/>
    <col min="7" max="7" width="16.85546875" style="1" customWidth="1"/>
    <col min="8" max="16384" width="8.85546875" style="1"/>
  </cols>
  <sheetData>
    <row r="3" spans="2:8" ht="15.75" x14ac:dyDescent="0.25">
      <c r="B3" s="275" t="s">
        <v>53</v>
      </c>
      <c r="C3" s="275"/>
      <c r="D3" s="275"/>
      <c r="E3" s="275"/>
      <c r="F3" s="275"/>
      <c r="G3" s="275"/>
    </row>
    <row r="4" spans="2:8" ht="8.4499999999999993" customHeight="1" x14ac:dyDescent="0.25"/>
    <row r="5" spans="2:8" ht="33" customHeight="1" x14ac:dyDescent="0.25">
      <c r="B5" s="237" t="s">
        <v>48</v>
      </c>
      <c r="C5" s="276" t="s">
        <v>47</v>
      </c>
      <c r="D5" s="277"/>
      <c r="E5" s="281" t="s">
        <v>51</v>
      </c>
      <c r="F5" s="279" t="s">
        <v>50</v>
      </c>
      <c r="G5" s="280"/>
    </row>
    <row r="6" spans="2:8" x14ac:dyDescent="0.25">
      <c r="B6" s="278"/>
      <c r="C6" s="179" t="s">
        <v>34</v>
      </c>
      <c r="D6" s="180" t="s">
        <v>46</v>
      </c>
      <c r="E6" s="282"/>
      <c r="F6" s="179" t="s">
        <v>34</v>
      </c>
      <c r="G6" s="180" t="s">
        <v>46</v>
      </c>
    </row>
    <row r="7" spans="2:8" x14ac:dyDescent="0.25">
      <c r="B7" s="115" t="str">
        <f>'Льготные налоговые режимы'!B8</f>
        <v>Инвестиционный договор</v>
      </c>
      <c r="C7" s="149">
        <f>D7/'Портрет типового резидента'!$K$2*'Портрет типового резидента'!$K$3</f>
        <v>0</v>
      </c>
      <c r="D7" s="152">
        <v>0</v>
      </c>
      <c r="E7" s="151" t="s">
        <v>52</v>
      </c>
      <c r="F7" s="152">
        <f>G7/'Портрет типового резидента'!$K$2*'Портрет типового резидента'!$K$3</f>
        <v>0</v>
      </c>
      <c r="G7" s="150">
        <v>0</v>
      </c>
      <c r="H7" s="114" t="s">
        <v>185</v>
      </c>
    </row>
    <row r="8" spans="2:8" x14ac:dyDescent="0.25">
      <c r="B8" s="116" t="str">
        <f>'Льготные налоговые режимы'!B9</f>
        <v>Свободная экономическая зона</v>
      </c>
      <c r="C8" s="153">
        <f>D8/'Портрет типового резидента'!$K$2*'Портрет типового резидента'!$K$3</f>
        <v>580.55573999070441</v>
      </c>
      <c r="D8" s="156">
        <v>500</v>
      </c>
      <c r="E8" s="155">
        <v>3</v>
      </c>
      <c r="F8" s="156">
        <f>G8/'Портрет типового резидента'!$K$2*'Портрет типового резидента'!$K$3</f>
        <v>1161.1114799814088</v>
      </c>
      <c r="G8" s="154">
        <v>1000</v>
      </c>
    </row>
    <row r="9" spans="2:8" x14ac:dyDescent="0.25">
      <c r="C9" s="2"/>
      <c r="D9" s="2"/>
      <c r="E9" s="2"/>
      <c r="F9" s="2"/>
      <c r="G9" s="2"/>
    </row>
    <row r="10" spans="2:8" x14ac:dyDescent="0.25">
      <c r="C10" s="2"/>
      <c r="D10" s="2"/>
      <c r="E10" s="2"/>
      <c r="F10" s="2"/>
      <c r="G10" s="2"/>
    </row>
    <row r="11" spans="2:8" x14ac:dyDescent="0.25">
      <c r="C11" s="2"/>
      <c r="D11" s="2"/>
      <c r="E11" s="2"/>
      <c r="F11" s="2"/>
      <c r="G11" s="2"/>
    </row>
    <row r="12" spans="2:8" x14ac:dyDescent="0.25">
      <c r="C12" s="2"/>
      <c r="D12" s="2"/>
      <c r="E12" s="2"/>
      <c r="F12" s="2"/>
      <c r="G12" s="2"/>
    </row>
    <row r="13" spans="2:8" x14ac:dyDescent="0.25">
      <c r="C13" s="2"/>
      <c r="D13" s="2"/>
      <c r="E13" s="2"/>
      <c r="F13" s="2"/>
      <c r="G13" s="2"/>
    </row>
  </sheetData>
  <mergeCells count="5">
    <mergeCell ref="B3:G3"/>
    <mergeCell ref="C5:D5"/>
    <mergeCell ref="B5:B6"/>
    <mergeCell ref="F5:G5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Общая информация</vt:lpstr>
      <vt:lpstr>Портрет типового резидента</vt:lpstr>
      <vt:lpstr>Итоговые результаты</vt:lpstr>
      <vt:lpstr>Сравнение налоговой нагрузки</vt:lpstr>
      <vt:lpstr>Сравнение финпоказателей</vt:lpstr>
      <vt:lpstr>Налогообложение</vt:lpstr>
      <vt:lpstr>Льготные налоговые режимы</vt:lpstr>
      <vt:lpstr>Критерии реализации проектов</vt:lpstr>
      <vt:lpstr>'Портрет типового резидента'!Print_Area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Ekaterina Kharitanovich</cp:lastModifiedBy>
  <dcterms:created xsi:type="dcterms:W3CDTF">2019-10-29T09:22:18Z</dcterms:created>
  <dcterms:modified xsi:type="dcterms:W3CDTF">2026-04-15T07:16:19Z</dcterms:modified>
</cp:coreProperties>
</file>